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icanlibraryassociation-my.sharepoint.com/personal/hrobison_ala_org/Documents/Documents/BARC/Spring 2023/"/>
    </mc:Choice>
  </mc:AlternateContent>
  <xr:revisionPtr revIDLastSave="0" documentId="8_{B92242B8-AA94-482D-BD4D-AAF8C428C14C}" xr6:coauthVersionLast="47" xr6:coauthVersionMax="47" xr10:uidLastSave="{00000000-0000-0000-0000-000000000000}"/>
  <bookViews>
    <workbookView xWindow="-108" yWindow="-108" windowWidth="23256" windowHeight="12576" xr2:uid="{97728722-60AD-4DB8-ACB8-B851375A235D}"/>
  </bookViews>
  <sheets>
    <sheet name="Spring 2023" sheetId="10" r:id="rId1"/>
    <sheet name="Detailed GF version" sheetId="5" r:id="rId2"/>
    <sheet name="Total ALA Payroll" sheetId="6" r:id="rId3"/>
    <sheet name="Revenue Pie Chart" sheetId="7" state="hidden" r:id="rId4"/>
    <sheet name="Gross Revenue %" sheetId="12" r:id="rId5"/>
    <sheet name="Overhead-Gen Fund, Div &amp; RTs" sheetId="11" r:id="rId6"/>
    <sheet name="Divisions" sheetId="4" r:id="rId7"/>
    <sheet name="Liquidity - ST Investments" sheetId="9" r:id="rId8"/>
  </sheets>
  <definedNames>
    <definedName name="_xlnm.Print_Area" localSheetId="4">'Gross Revenue %'!$A$1:$C$19</definedName>
    <definedName name="_xlnm.Print_Area" localSheetId="0">'Spring 2023'!$A$1:$AB$178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2" i="10" l="1"/>
  <c r="AC31" i="5"/>
  <c r="AB31" i="5"/>
  <c r="AD81" i="5"/>
  <c r="AC84" i="5"/>
  <c r="AC85" i="5"/>
  <c r="AC86" i="5"/>
  <c r="AC87" i="5"/>
  <c r="AC88" i="5"/>
  <c r="AC89" i="5"/>
  <c r="AC90" i="5"/>
  <c r="AC92" i="5"/>
  <c r="AC83" i="5"/>
  <c r="AB85" i="5"/>
  <c r="AB86" i="5"/>
  <c r="AB87" i="5"/>
  <c r="AB88" i="5"/>
  <c r="AB89" i="5"/>
  <c r="AB90" i="5"/>
  <c r="AB92" i="5"/>
  <c r="AB83" i="5"/>
  <c r="U59" i="10"/>
  <c r="V59" i="10"/>
  <c r="V67" i="10" s="1"/>
  <c r="U17" i="5"/>
  <c r="X17" i="5"/>
  <c r="G7" i="6" l="1"/>
  <c r="I16" i="6"/>
  <c r="I18" i="6" l="1"/>
  <c r="B5" i="12"/>
  <c r="Y32" i="10"/>
  <c r="K7" i="4" l="1"/>
  <c r="Y62" i="10"/>
  <c r="AA27" i="5"/>
  <c r="X34" i="5"/>
  <c r="Z92" i="5" l="1"/>
  <c r="Z90" i="5"/>
  <c r="AA92" i="5"/>
  <c r="X92" i="5"/>
  <c r="AA90" i="5"/>
  <c r="X90" i="5"/>
  <c r="AA87" i="5"/>
  <c r="X87" i="5"/>
  <c r="AA83" i="5"/>
  <c r="X83" i="5"/>
  <c r="AA29" i="5" l="1"/>
  <c r="X27" i="5" l="1"/>
  <c r="AA17" i="5"/>
  <c r="X31" i="5"/>
  <c r="X15" i="5" l="1"/>
  <c r="AA7" i="5" l="1"/>
  <c r="V77" i="10"/>
  <c r="A9" i="12" l="1"/>
  <c r="A10" i="12"/>
  <c r="A11" i="12"/>
  <c r="A12" i="12"/>
  <c r="A13" i="12"/>
  <c r="A14" i="12"/>
  <c r="A15" i="12"/>
  <c r="A16" i="12"/>
  <c r="A17" i="12"/>
  <c r="A19" i="12"/>
  <c r="A8" i="12"/>
  <c r="J33" i="7" l="1"/>
  <c r="X35" i="10" l="1"/>
  <c r="X30" i="10"/>
  <c r="X29" i="10"/>
  <c r="X28" i="10"/>
  <c r="Z17" i="5"/>
  <c r="X15" i="10" l="1"/>
  <c r="X13" i="10"/>
  <c r="X11" i="10"/>
  <c r="Z87" i="5"/>
  <c r="J37" i="7" l="1"/>
  <c r="J35" i="7"/>
  <c r="AD14" i="5"/>
  <c r="AC14" i="5"/>
  <c r="AB14" i="5"/>
  <c r="V79" i="10" l="1"/>
  <c r="V35" i="10" s="1"/>
  <c r="V78" i="10"/>
  <c r="V29" i="10" s="1"/>
  <c r="V28" i="10"/>
  <c r="V20" i="10"/>
  <c r="V19" i="10"/>
  <c r="V60" i="10" s="1"/>
  <c r="V17" i="10"/>
  <c r="V58" i="10" s="1"/>
  <c r="V16" i="10"/>
  <c r="V57" i="10" s="1"/>
  <c r="V15" i="10"/>
  <c r="V56" i="10" s="1"/>
  <c r="V13" i="10"/>
  <c r="V54" i="10" s="1"/>
  <c r="V12" i="10"/>
  <c r="V11" i="10"/>
  <c r="V82" i="10"/>
  <c r="V81" i="10"/>
  <c r="V62" i="10"/>
  <c r="X29" i="5"/>
  <c r="V18" i="10"/>
  <c r="D14" i="11" l="1"/>
  <c r="V53" i="10"/>
  <c r="V52" i="10"/>
  <c r="B14" i="11"/>
  <c r="V61" i="10"/>
  <c r="A4" i="4" l="1"/>
  <c r="G16" i="6" l="1"/>
  <c r="A14" i="11"/>
  <c r="H64" i="4"/>
  <c r="H47" i="4"/>
  <c r="H46" i="4"/>
  <c r="H44" i="4"/>
  <c r="H43" i="4"/>
  <c r="H42" i="4"/>
  <c r="H41" i="4"/>
  <c r="H40" i="4"/>
  <c r="H39" i="4"/>
  <c r="H38" i="4"/>
  <c r="H35" i="4"/>
  <c r="V31" i="10" s="1"/>
  <c r="H21" i="4"/>
  <c r="X13" i="5" s="1"/>
  <c r="H7" i="4"/>
  <c r="V14" i="10" l="1"/>
  <c r="V55" i="10" s="1"/>
  <c r="X51" i="5"/>
  <c r="V80" i="10"/>
  <c r="V86" i="10" s="1"/>
  <c r="C14" i="11"/>
  <c r="H45" i="4"/>
  <c r="H49" i="4" s="1"/>
  <c r="A4" i="5"/>
  <c r="X7" i="5"/>
  <c r="X68" i="5"/>
  <c r="X45" i="5"/>
  <c r="X44" i="5"/>
  <c r="X43" i="5"/>
  <c r="X42" i="5"/>
  <c r="X41" i="5"/>
  <c r="X40" i="5"/>
  <c r="X39" i="5"/>
  <c r="X30" i="5"/>
  <c r="X36" i="5"/>
  <c r="X20" i="5"/>
  <c r="V21" i="10" s="1"/>
  <c r="V63" i="10" l="1"/>
  <c r="V23" i="10"/>
  <c r="X94" i="5"/>
  <c r="V37" i="10" s="1"/>
  <c r="V65" i="10" s="1"/>
  <c r="X37" i="5"/>
  <c r="A19" i="11"/>
  <c r="N42" i="4"/>
  <c r="M42" i="4"/>
  <c r="L42" i="4"/>
  <c r="K42" i="4"/>
  <c r="U31" i="5"/>
  <c r="AA79" i="10" l="1"/>
  <c r="AA78" i="10"/>
  <c r="AA77" i="10"/>
  <c r="AA48" i="10"/>
  <c r="AA47" i="10"/>
  <c r="AA46" i="10"/>
  <c r="AA45" i="10"/>
  <c r="AA44" i="10"/>
  <c r="AA43" i="10"/>
  <c r="AA42" i="10"/>
  <c r="AA20" i="10"/>
  <c r="AA35" i="10" s="1"/>
  <c r="AA16" i="10"/>
  <c r="AA33" i="10" s="1"/>
  <c r="AA13" i="10"/>
  <c r="AA54" i="10" s="1"/>
  <c r="AA12" i="10"/>
  <c r="AA11" i="10"/>
  <c r="AA28" i="10" s="1"/>
  <c r="AA52" i="10" l="1"/>
  <c r="AA61" i="10"/>
  <c r="B19" i="11"/>
  <c r="AA29" i="10"/>
  <c r="AA53" i="10" s="1"/>
  <c r="AA57" i="10"/>
  <c r="AA15" i="10"/>
  <c r="AD34" i="5"/>
  <c r="AC34" i="5"/>
  <c r="AB34" i="5"/>
  <c r="AC81" i="5" l="1"/>
  <c r="AC68" i="5" l="1"/>
  <c r="AC53" i="5"/>
  <c r="AA82" i="10" s="1"/>
  <c r="AC45" i="5"/>
  <c r="AC44" i="5"/>
  <c r="AC43" i="5"/>
  <c r="AC42" i="5"/>
  <c r="AC41" i="5"/>
  <c r="AC40" i="5"/>
  <c r="AC39" i="5"/>
  <c r="AC20" i="5"/>
  <c r="AA21" i="10" s="1"/>
  <c r="AA63" i="10" s="1"/>
  <c r="AC17" i="5"/>
  <c r="AA18" i="10" s="1"/>
  <c r="AC29" i="5"/>
  <c r="AC36" i="5" s="1"/>
  <c r="AC18" i="5"/>
  <c r="AA19" i="10" s="1"/>
  <c r="AA60" i="10" s="1"/>
  <c r="AC52" i="5"/>
  <c r="AA81" i="10" s="1"/>
  <c r="D19" i="11" s="1"/>
  <c r="AC94" i="5" l="1"/>
  <c r="AA37" i="10" s="1"/>
  <c r="AA65" i="10" l="1"/>
  <c r="J47" i="4"/>
  <c r="J46" i="4"/>
  <c r="J45" i="4"/>
  <c r="J44" i="4"/>
  <c r="J43" i="4"/>
  <c r="J42" i="4"/>
  <c r="J41" i="4"/>
  <c r="J40" i="4"/>
  <c r="J39" i="4"/>
  <c r="J38" i="4"/>
  <c r="M64" i="4" l="1"/>
  <c r="C19" i="11" s="1"/>
  <c r="E19" i="11" s="1"/>
  <c r="M47" i="4"/>
  <c r="M46" i="4"/>
  <c r="M45" i="4"/>
  <c r="M43" i="4"/>
  <c r="M40" i="4"/>
  <c r="M39" i="4"/>
  <c r="M38" i="4"/>
  <c r="M35" i="4"/>
  <c r="AA31" i="10" s="1"/>
  <c r="M13" i="4"/>
  <c r="M41" i="4" s="1"/>
  <c r="T27" i="5"/>
  <c r="AA80" i="10" l="1"/>
  <c r="AA86" i="10" s="1"/>
  <c r="AC51" i="5"/>
  <c r="AC57" i="5" s="1"/>
  <c r="M21" i="4"/>
  <c r="AC13" i="5" s="1"/>
  <c r="M44" i="4"/>
  <c r="M49" i="4" s="1"/>
  <c r="U30" i="5"/>
  <c r="B30" i="5"/>
  <c r="AA14" i="10" l="1"/>
  <c r="AC22" i="5"/>
  <c r="AC75" i="5"/>
  <c r="AA36" i="10"/>
  <c r="AC72" i="5"/>
  <c r="T17" i="5"/>
  <c r="AA23" i="10" l="1"/>
  <c r="AA55" i="10"/>
  <c r="AA64" i="10"/>
  <c r="U61" i="10"/>
  <c r="AB81" i="5" l="1"/>
  <c r="AA81" i="5"/>
  <c r="X69" i="10" l="1"/>
  <c r="X62" i="10" l="1"/>
  <c r="U17" i="10" l="1"/>
  <c r="U58" i="10" s="1"/>
  <c r="B17" i="10"/>
  <c r="B58" i="10" s="1"/>
  <c r="Z7" i="5" l="1"/>
  <c r="J7" i="4" s="1"/>
  <c r="X16" i="10"/>
  <c r="AA18" i="5"/>
  <c r="X33" i="10" l="1"/>
  <c r="J38" i="7"/>
  <c r="X18" i="10"/>
  <c r="X12" i="10"/>
  <c r="X52" i="10"/>
  <c r="J34" i="7" l="1"/>
  <c r="J39" i="7"/>
  <c r="H16" i="6"/>
  <c r="E6" i="6"/>
  <c r="U92" i="5" l="1"/>
  <c r="U90" i="5"/>
  <c r="U87" i="5"/>
  <c r="U83" i="5" l="1"/>
  <c r="U29" i="5" l="1"/>
  <c r="U27" i="5" l="1"/>
  <c r="U18" i="10"/>
  <c r="U16" i="10" l="1"/>
  <c r="U15" i="10"/>
  <c r="U13" i="10"/>
  <c r="U12" i="10"/>
  <c r="U11" i="10"/>
  <c r="U7" i="5"/>
  <c r="F6" i="6" s="1"/>
  <c r="G7" i="4" l="1"/>
  <c r="T15" i="5"/>
  <c r="Y87" i="5" l="1"/>
  <c r="Y20" i="5"/>
  <c r="D38" i="4"/>
  <c r="E38" i="4"/>
  <c r="F38" i="4"/>
  <c r="G38" i="4"/>
  <c r="I38" i="4"/>
  <c r="K38" i="4"/>
  <c r="L38" i="4"/>
  <c r="N38" i="4"/>
  <c r="D39" i="4"/>
  <c r="E39" i="4"/>
  <c r="F39" i="4"/>
  <c r="G39" i="4"/>
  <c r="I39" i="4"/>
  <c r="K39" i="4"/>
  <c r="L39" i="4"/>
  <c r="N39" i="4"/>
  <c r="D40" i="4"/>
  <c r="E40" i="4"/>
  <c r="F40" i="4"/>
  <c r="G40" i="4"/>
  <c r="I40" i="4"/>
  <c r="K40" i="4"/>
  <c r="L40" i="4"/>
  <c r="N40" i="4"/>
  <c r="D41" i="4"/>
  <c r="E41" i="4"/>
  <c r="F41" i="4"/>
  <c r="G41" i="4"/>
  <c r="I41" i="4"/>
  <c r="K41" i="4"/>
  <c r="D42" i="4"/>
  <c r="E42" i="4"/>
  <c r="F42" i="4"/>
  <c r="G42" i="4"/>
  <c r="I42" i="4"/>
  <c r="D43" i="4"/>
  <c r="E43" i="4"/>
  <c r="G43" i="4"/>
  <c r="I43" i="4"/>
  <c r="K43" i="4"/>
  <c r="L43" i="4"/>
  <c r="N43" i="4"/>
  <c r="D44" i="4"/>
  <c r="E44" i="4"/>
  <c r="F44" i="4"/>
  <c r="G44" i="4"/>
  <c r="I44" i="4"/>
  <c r="D45" i="4"/>
  <c r="E45" i="4"/>
  <c r="F45" i="4"/>
  <c r="G45" i="4"/>
  <c r="I45" i="4"/>
  <c r="K45" i="4"/>
  <c r="L45" i="4"/>
  <c r="N45" i="4"/>
  <c r="D46" i="4"/>
  <c r="E46" i="4"/>
  <c r="F46" i="4"/>
  <c r="G46" i="4"/>
  <c r="I46" i="4"/>
  <c r="K46" i="4"/>
  <c r="L46" i="4"/>
  <c r="N46" i="4"/>
  <c r="D47" i="4"/>
  <c r="E47" i="4"/>
  <c r="F47" i="4"/>
  <c r="G47" i="4"/>
  <c r="I47" i="4"/>
  <c r="K47" i="4"/>
  <c r="L47" i="4"/>
  <c r="N47" i="4"/>
  <c r="C40" i="4"/>
  <c r="C41" i="4"/>
  <c r="C42" i="4"/>
  <c r="C43" i="4"/>
  <c r="C44" i="4"/>
  <c r="C45" i="4"/>
  <c r="C46" i="4"/>
  <c r="C47" i="4"/>
  <c r="C39" i="4"/>
  <c r="C38" i="4"/>
  <c r="E49" i="4" l="1"/>
  <c r="C49" i="4"/>
  <c r="D49" i="4"/>
  <c r="G49" i="4"/>
  <c r="I49" i="4"/>
  <c r="A9" i="11" l="1"/>
  <c r="A10" i="11"/>
  <c r="A11" i="11"/>
  <c r="A12" i="11"/>
  <c r="A13" i="11"/>
  <c r="A15" i="11"/>
  <c r="A16" i="11"/>
  <c r="A17" i="11"/>
  <c r="A18" i="11"/>
  <c r="A20" i="11"/>
  <c r="Y32" i="5"/>
  <c r="X77" i="10" l="1"/>
  <c r="Y77" i="10"/>
  <c r="Z77" i="10"/>
  <c r="AB77" i="10"/>
  <c r="X78" i="10"/>
  <c r="Y78" i="10"/>
  <c r="Z78" i="10"/>
  <c r="AB78" i="10"/>
  <c r="X79" i="10"/>
  <c r="Y79" i="10"/>
  <c r="Z79" i="10"/>
  <c r="AB79" i="10"/>
  <c r="W82" i="10"/>
  <c r="W81" i="10"/>
  <c r="D15" i="11" s="1"/>
  <c r="W78" i="10"/>
  <c r="W29" i="10" s="1"/>
  <c r="W79" i="10"/>
  <c r="W77" i="10"/>
  <c r="W28" i="10" s="1"/>
  <c r="U82" i="10"/>
  <c r="U81" i="10"/>
  <c r="D13" i="11" s="1"/>
  <c r="T82" i="10"/>
  <c r="T81" i="10"/>
  <c r="D12" i="11" s="1"/>
  <c r="S82" i="10"/>
  <c r="S81" i="10"/>
  <c r="D11" i="11" s="1"/>
  <c r="K81" i="10"/>
  <c r="D10" i="11" s="1"/>
  <c r="U78" i="10"/>
  <c r="U77" i="10"/>
  <c r="T78" i="10"/>
  <c r="T77" i="10"/>
  <c r="S78" i="10"/>
  <c r="S77" i="10"/>
  <c r="K78" i="10"/>
  <c r="K77" i="10"/>
  <c r="I81" i="10"/>
  <c r="D9" i="11" s="1"/>
  <c r="I78" i="10"/>
  <c r="I77" i="10"/>
  <c r="B9" i="11" s="1"/>
  <c r="E58" i="4"/>
  <c r="E64" i="4" s="1"/>
  <c r="C11" i="11" s="1"/>
  <c r="D58" i="4"/>
  <c r="C58" i="4"/>
  <c r="T11" i="10"/>
  <c r="T12" i="10"/>
  <c r="T15" i="10"/>
  <c r="T34" i="5"/>
  <c r="T16" i="10"/>
  <c r="U29" i="10" l="1"/>
  <c r="E14" i="11"/>
  <c r="B12" i="11"/>
  <c r="B10" i="11"/>
  <c r="B11" i="11"/>
  <c r="E11" i="11" s="1"/>
  <c r="B20" i="11"/>
  <c r="B18" i="11"/>
  <c r="B17" i="11"/>
  <c r="B16" i="11"/>
  <c r="U28" i="10"/>
  <c r="B13" i="11"/>
  <c r="B15" i="11"/>
  <c r="S51" i="5"/>
  <c r="S80" i="10" s="1"/>
  <c r="T13" i="10"/>
  <c r="W69" i="10"/>
  <c r="B69" i="10"/>
  <c r="T34" i="10"/>
  <c r="Z34" i="10" l="1"/>
  <c r="AB34" i="10" s="1"/>
  <c r="AA34" i="10"/>
  <c r="B22" i="11"/>
  <c r="AB62" i="10"/>
  <c r="U62" i="10"/>
  <c r="T62" i="10"/>
  <c r="S62" i="10"/>
  <c r="K62" i="10"/>
  <c r="I62" i="10"/>
  <c r="K18" i="10"/>
  <c r="I18" i="10"/>
  <c r="Y17" i="5"/>
  <c r="W18" i="10"/>
  <c r="W21" i="10"/>
  <c r="Y19" i="10"/>
  <c r="B15" i="12" s="1"/>
  <c r="X20" i="10"/>
  <c r="W20" i="10"/>
  <c r="W15" i="10"/>
  <c r="W16" i="10"/>
  <c r="W57" i="10" s="1"/>
  <c r="Y16" i="10"/>
  <c r="B13" i="12" s="1"/>
  <c r="Z16" i="10"/>
  <c r="AB16" i="10"/>
  <c r="AB13" i="10"/>
  <c r="Z13" i="10"/>
  <c r="Y13" i="10"/>
  <c r="B10" i="12" s="1"/>
  <c r="W13" i="10"/>
  <c r="Y12" i="10"/>
  <c r="Z12" i="10"/>
  <c r="Z29" i="10" s="1"/>
  <c r="AB12" i="10"/>
  <c r="AB29" i="10" s="1"/>
  <c r="W12" i="10"/>
  <c r="Y11" i="10"/>
  <c r="Z11" i="10"/>
  <c r="Z28" i="10" s="1"/>
  <c r="AB11" i="10"/>
  <c r="AB28" i="10" s="1"/>
  <c r="W11" i="10"/>
  <c r="Y28" i="10" l="1"/>
  <c r="B8" i="12"/>
  <c r="Y29" i="10"/>
  <c r="B9" i="12"/>
  <c r="X61" i="10"/>
  <c r="J41" i="7"/>
  <c r="Z62" i="10"/>
  <c r="T32" i="10"/>
  <c r="T29" i="10"/>
  <c r="S92" i="5"/>
  <c r="T87" i="5"/>
  <c r="T83" i="5"/>
  <c r="T21" i="10"/>
  <c r="AB33" i="10"/>
  <c r="Z33" i="10"/>
  <c r="Y33" i="10"/>
  <c r="W61" i="10"/>
  <c r="T28" i="10" l="1"/>
  <c r="F58" i="4" l="1"/>
  <c r="F29" i="4"/>
  <c r="F15" i="4"/>
  <c r="F43" i="4" s="1"/>
  <c r="F49" i="4" s="1"/>
  <c r="AB57" i="10" l="1"/>
  <c r="AB54" i="10"/>
  <c r="Z57" i="10"/>
  <c r="Z54" i="10"/>
  <c r="Y60" i="10"/>
  <c r="Y57" i="10"/>
  <c r="Y54" i="10"/>
  <c r="X57" i="10"/>
  <c r="X54" i="10"/>
  <c r="W63" i="10"/>
  <c r="W56" i="10"/>
  <c r="W54" i="10"/>
  <c r="U57" i="10"/>
  <c r="U56" i="10"/>
  <c r="U54" i="10"/>
  <c r="U53" i="10"/>
  <c r="T63" i="10"/>
  <c r="T61" i="10"/>
  <c r="T60" i="10"/>
  <c r="T57" i="10"/>
  <c r="T56" i="10"/>
  <c r="W52" i="10"/>
  <c r="U52" i="10"/>
  <c r="S87" i="5"/>
  <c r="S18" i="10" l="1"/>
  <c r="S60" i="10"/>
  <c r="S61" i="10"/>
  <c r="K61" i="10"/>
  <c r="K60" i="10"/>
  <c r="S57" i="10"/>
  <c r="S56" i="10"/>
  <c r="S54" i="10"/>
  <c r="K57" i="10"/>
  <c r="K56" i="10"/>
  <c r="K54" i="10"/>
  <c r="S21" i="10"/>
  <c r="S63" i="10" s="1"/>
  <c r="N44" i="4"/>
  <c r="I63" i="10"/>
  <c r="I60" i="10"/>
  <c r="B63" i="10"/>
  <c r="B60" i="10"/>
  <c r="I56" i="10"/>
  <c r="I57" i="10"/>
  <c r="I61" i="10"/>
  <c r="I54" i="10"/>
  <c r="B65" i="10"/>
  <c r="B53" i="10"/>
  <c r="B54" i="10"/>
  <c r="B55" i="10"/>
  <c r="B56" i="10"/>
  <c r="B57" i="10"/>
  <c r="B61" i="10"/>
  <c r="AB53" i="10"/>
  <c r="Z53" i="10"/>
  <c r="Y53" i="10"/>
  <c r="X53" i="10"/>
  <c r="W53" i="10"/>
  <c r="T53" i="10"/>
  <c r="S29" i="10"/>
  <c r="S53" i="10" s="1"/>
  <c r="K29" i="10"/>
  <c r="K53" i="10" s="1"/>
  <c r="I29" i="10"/>
  <c r="AB52" i="10"/>
  <c r="Z52" i="10"/>
  <c r="Y52" i="10"/>
  <c r="S28" i="10"/>
  <c r="S52" i="10" s="1"/>
  <c r="K28" i="10"/>
  <c r="K52" i="10" s="1"/>
  <c r="L44" i="4"/>
  <c r="K44" i="4"/>
  <c r="K49" i="4" s="1"/>
  <c r="J49" i="4"/>
  <c r="K64" i="4"/>
  <c r="X57" i="5" s="1"/>
  <c r="V36" i="10" s="1"/>
  <c r="J64" i="4"/>
  <c r="I64" i="4"/>
  <c r="C15" i="11" s="1"/>
  <c r="G64" i="4"/>
  <c r="U51" i="5" s="1"/>
  <c r="F64" i="4"/>
  <c r="D64" i="4"/>
  <c r="C64" i="4"/>
  <c r="K21" i="10"/>
  <c r="K63" i="10" s="1"/>
  <c r="F21" i="10"/>
  <c r="P21" i="10"/>
  <c r="R39" i="10"/>
  <c r="N142" i="10"/>
  <c r="O142" i="10" s="1"/>
  <c r="I142" i="10"/>
  <c r="I28" i="10" s="1"/>
  <c r="I52" i="10" s="1"/>
  <c r="G28" i="10"/>
  <c r="G39" i="10" s="1"/>
  <c r="G40" i="10" s="1"/>
  <c r="F28" i="10"/>
  <c r="D28" i="10"/>
  <c r="D39" i="10" s="1"/>
  <c r="C28" i="10"/>
  <c r="C39" i="10" s="1"/>
  <c r="AB97" i="10"/>
  <c r="Z97" i="10"/>
  <c r="Y97" i="10"/>
  <c r="X97" i="10"/>
  <c r="W97" i="10"/>
  <c r="U97" i="10"/>
  <c r="T97" i="10"/>
  <c r="P97" i="10"/>
  <c r="L97" i="10"/>
  <c r="I97" i="10"/>
  <c r="G97" i="10"/>
  <c r="F97" i="10"/>
  <c r="E97" i="10"/>
  <c r="D97" i="10"/>
  <c r="R86" i="10"/>
  <c r="M86" i="10"/>
  <c r="L86" i="10"/>
  <c r="G86" i="10"/>
  <c r="F86" i="10"/>
  <c r="D86" i="10"/>
  <c r="C86" i="10"/>
  <c r="O84" i="10"/>
  <c r="O83" i="10"/>
  <c r="P82" i="10"/>
  <c r="N82" i="10"/>
  <c r="O82" i="10" s="1"/>
  <c r="N81" i="10"/>
  <c r="O81" i="10" s="1"/>
  <c r="H81" i="10"/>
  <c r="P80" i="10"/>
  <c r="N80" i="10"/>
  <c r="O80" i="10" s="1"/>
  <c r="P78" i="10"/>
  <c r="N78" i="10"/>
  <c r="O78" i="10" s="1"/>
  <c r="H78" i="10"/>
  <c r="P77" i="10"/>
  <c r="N77" i="10"/>
  <c r="O77" i="10" s="1"/>
  <c r="H77" i="10"/>
  <c r="AB48" i="10"/>
  <c r="Z48" i="10"/>
  <c r="Y48" i="10"/>
  <c r="X48" i="10"/>
  <c r="W48" i="10"/>
  <c r="U48" i="10"/>
  <c r="T48" i="10"/>
  <c r="P48" i="10"/>
  <c r="L48" i="10"/>
  <c r="I48" i="10"/>
  <c r="G48" i="10"/>
  <c r="AB47" i="10"/>
  <c r="Z47" i="10"/>
  <c r="Y47" i="10"/>
  <c r="X47" i="10"/>
  <c r="W47" i="10"/>
  <c r="U47" i="10"/>
  <c r="T47" i="10"/>
  <c r="P47" i="10"/>
  <c r="L47" i="10"/>
  <c r="I47" i="10"/>
  <c r="G47" i="10"/>
  <c r="AB46" i="10"/>
  <c r="Z46" i="10"/>
  <c r="Y46" i="10"/>
  <c r="X46" i="10"/>
  <c r="W46" i="10"/>
  <c r="U46" i="10"/>
  <c r="T46" i="10"/>
  <c r="P46" i="10"/>
  <c r="L46" i="10"/>
  <c r="I46" i="10"/>
  <c r="G46" i="10"/>
  <c r="AB45" i="10"/>
  <c r="Z45" i="10"/>
  <c r="Y45" i="10"/>
  <c r="X45" i="10"/>
  <c r="W45" i="10"/>
  <c r="U45" i="10"/>
  <c r="T45" i="10"/>
  <c r="P45" i="10"/>
  <c r="L45" i="10"/>
  <c r="I45" i="10"/>
  <c r="G45" i="10"/>
  <c r="AB44" i="10"/>
  <c r="Z44" i="10"/>
  <c r="Y44" i="10"/>
  <c r="X44" i="10"/>
  <c r="W44" i="10"/>
  <c r="U44" i="10"/>
  <c r="T44" i="10"/>
  <c r="P44" i="10"/>
  <c r="L44" i="10"/>
  <c r="I44" i="10"/>
  <c r="G44" i="10"/>
  <c r="AB43" i="10"/>
  <c r="Z43" i="10"/>
  <c r="Y43" i="10"/>
  <c r="X43" i="10"/>
  <c r="W43" i="10"/>
  <c r="U43" i="10"/>
  <c r="T43" i="10"/>
  <c r="P43" i="10"/>
  <c r="L43" i="10"/>
  <c r="I43" i="10"/>
  <c r="G43" i="10"/>
  <c r="AB42" i="10"/>
  <c r="Z42" i="10"/>
  <c r="Y42" i="10"/>
  <c r="X42" i="10"/>
  <c r="W42" i="10"/>
  <c r="U42" i="10"/>
  <c r="T42" i="10"/>
  <c r="P42" i="10"/>
  <c r="L42" i="10"/>
  <c r="I42" i="10"/>
  <c r="G42" i="10"/>
  <c r="M39" i="10"/>
  <c r="E21" i="10"/>
  <c r="P18" i="10"/>
  <c r="E18" i="10"/>
  <c r="T54" i="10"/>
  <c r="P28" i="10"/>
  <c r="L28" i="10"/>
  <c r="N28" i="10" s="1"/>
  <c r="W25" i="10"/>
  <c r="X25" i="10" s="1"/>
  <c r="AA25" i="10" s="1"/>
  <c r="R23" i="10"/>
  <c r="M23" i="10"/>
  <c r="H23" i="10"/>
  <c r="L21" i="10"/>
  <c r="N21" i="10" s="1"/>
  <c r="O21" i="10" s="1"/>
  <c r="G21" i="10"/>
  <c r="G23" i="10" s="1"/>
  <c r="D21" i="10"/>
  <c r="C21" i="10"/>
  <c r="F18" i="10"/>
  <c r="D18" i="10"/>
  <c r="C18" i="10"/>
  <c r="L16" i="10"/>
  <c r="P16" i="10" s="1"/>
  <c r="N15" i="10"/>
  <c r="O15" i="10" s="1"/>
  <c r="L14" i="10"/>
  <c r="N14" i="10" s="1"/>
  <c r="O14" i="10" s="1"/>
  <c r="N13" i="10"/>
  <c r="O13" i="10" s="1"/>
  <c r="P12" i="10"/>
  <c r="L12" i="10"/>
  <c r="I12" i="10"/>
  <c r="F12" i="10"/>
  <c r="E12" i="10"/>
  <c r="D12" i="10"/>
  <c r="C12" i="10"/>
  <c r="P11" i="10"/>
  <c r="N11" i="10"/>
  <c r="O11" i="10" s="1"/>
  <c r="V64" i="10" l="1"/>
  <c r="V39" i="10"/>
  <c r="G20" i="6" s="1"/>
  <c r="X75" i="5"/>
  <c r="X97" i="5" s="1"/>
  <c r="X72" i="5"/>
  <c r="X80" i="10"/>
  <c r="C16" i="11"/>
  <c r="Y80" i="10"/>
  <c r="C17" i="11"/>
  <c r="AA51" i="5"/>
  <c r="C9" i="11"/>
  <c r="E9" i="11" s="1"/>
  <c r="I51" i="5"/>
  <c r="I80" i="10" s="1"/>
  <c r="H80" i="10" s="1"/>
  <c r="H86" i="10" s="1"/>
  <c r="C10" i="11"/>
  <c r="E10" i="11" s="1"/>
  <c r="K51" i="5"/>
  <c r="K80" i="10" s="1"/>
  <c r="C12" i="11"/>
  <c r="E12" i="11" s="1"/>
  <c r="T51" i="5"/>
  <c r="T80" i="10"/>
  <c r="T86" i="10" s="1"/>
  <c r="T101" i="10" s="1"/>
  <c r="C13" i="11"/>
  <c r="E13" i="11" s="1"/>
  <c r="U80" i="10"/>
  <c r="U86" i="10" s="1"/>
  <c r="E15" i="11"/>
  <c r="Y51" i="5"/>
  <c r="W80" i="10"/>
  <c r="W86" i="10" s="1"/>
  <c r="W101" i="10" s="1"/>
  <c r="I53" i="10"/>
  <c r="X56" i="10"/>
  <c r="L64" i="4"/>
  <c r="N64" i="4"/>
  <c r="P39" i="10"/>
  <c r="P40" i="10" s="1"/>
  <c r="H28" i="10"/>
  <c r="H39" i="10" s="1"/>
  <c r="P14" i="10"/>
  <c r="P23" i="10" s="1"/>
  <c r="L101" i="10"/>
  <c r="C162" i="10"/>
  <c r="R105" i="10"/>
  <c r="G123" i="10"/>
  <c r="F101" i="10"/>
  <c r="E86" i="10"/>
  <c r="E101" i="10" s="1"/>
  <c r="G101" i="10"/>
  <c r="L18" i="10"/>
  <c r="N18" i="10" s="1"/>
  <c r="O18" i="10" s="1"/>
  <c r="N39" i="10"/>
  <c r="E23" i="10"/>
  <c r="S23" i="10"/>
  <c r="O28" i="10"/>
  <c r="L39" i="10"/>
  <c r="L40" i="10" s="1"/>
  <c r="P86" i="10"/>
  <c r="P101" i="10" s="1"/>
  <c r="E39" i="10"/>
  <c r="E40" i="10" s="1"/>
  <c r="D101" i="10"/>
  <c r="M123" i="10"/>
  <c r="S86" i="10"/>
  <c r="R123" i="10"/>
  <c r="N16" i="10"/>
  <c r="O16" i="10" s="1"/>
  <c r="Z25" i="10"/>
  <c r="Y25" i="10"/>
  <c r="AB25" i="10" s="1"/>
  <c r="C23" i="10"/>
  <c r="D23" i="10"/>
  <c r="N12" i="10"/>
  <c r="D162" i="10"/>
  <c r="D40" i="10"/>
  <c r="F39" i="10"/>
  <c r="N86" i="10"/>
  <c r="O86" i="10" s="1"/>
  <c r="F23" i="10"/>
  <c r="K23" i="10"/>
  <c r="X99" i="5" l="1"/>
  <c r="X101" i="5" s="1"/>
  <c r="X123" i="5"/>
  <c r="X125" i="5" s="1"/>
  <c r="X156" i="5"/>
  <c r="Z32" i="10"/>
  <c r="AB32" i="10" s="1"/>
  <c r="AA32" i="10"/>
  <c r="Z80" i="10"/>
  <c r="C18" i="11"/>
  <c r="AB51" i="5"/>
  <c r="AB80" i="10"/>
  <c r="C20" i="11"/>
  <c r="AD51" i="5"/>
  <c r="H123" i="10"/>
  <c r="G162" i="10"/>
  <c r="O39" i="10"/>
  <c r="P162" i="10"/>
  <c r="L23" i="10"/>
  <c r="R107" i="10"/>
  <c r="E162" i="10"/>
  <c r="F40" i="10"/>
  <c r="O12" i="10"/>
  <c r="N23" i="10"/>
  <c r="AA56" i="10" l="1"/>
  <c r="AA39" i="10"/>
  <c r="C22" i="11"/>
  <c r="O23" i="10"/>
  <c r="H162" i="10"/>
  <c r="T105" i="10"/>
  <c r="T107" i="10" s="1"/>
  <c r="T129" i="10"/>
  <c r="T131" i="10" s="1"/>
  <c r="T162" i="10"/>
  <c r="L123" i="10"/>
  <c r="L162" i="10"/>
  <c r="F123" i="10"/>
  <c r="F162" i="10"/>
  <c r="W105" i="10"/>
  <c r="W107" i="10" s="1"/>
  <c r="W162" i="10" l="1"/>
  <c r="X162" i="10"/>
  <c r="AB105" i="10"/>
  <c r="AB107" i="10" s="1"/>
  <c r="N162" i="10"/>
  <c r="O162" i="10" s="1"/>
  <c r="X105" i="10"/>
  <c r="X107" i="10" s="1"/>
  <c r="Y20" i="10" l="1"/>
  <c r="B16" i="12" s="1"/>
  <c r="E16" i="6"/>
  <c r="E18" i="6" s="1"/>
  <c r="F16" i="6"/>
  <c r="C16" i="6"/>
  <c r="D16" i="6"/>
  <c r="B16" i="6"/>
  <c r="Y35" i="10" l="1"/>
  <c r="Y61" i="10" s="1"/>
  <c r="AB20" i="10"/>
  <c r="Z20" i="10"/>
  <c r="Z35" i="10" l="1"/>
  <c r="Z61" i="10" s="1"/>
  <c r="AB35" i="10"/>
  <c r="AB61" i="10" s="1"/>
  <c r="N136" i="5"/>
  <c r="O136" i="5" s="1"/>
  <c r="I136" i="5"/>
  <c r="I27" i="5" s="1"/>
  <c r="G27" i="5"/>
  <c r="G36" i="5" s="1"/>
  <c r="F27" i="5"/>
  <c r="D27" i="5"/>
  <c r="D36" i="5" s="1"/>
  <c r="C27" i="5"/>
  <c r="C36" i="5" s="1"/>
  <c r="R94" i="5"/>
  <c r="M94" i="5"/>
  <c r="H94" i="5"/>
  <c r="V92" i="5"/>
  <c r="W92" i="5" s="1"/>
  <c r="L92" i="5"/>
  <c r="N92" i="5" s="1"/>
  <c r="O92" i="5" s="1"/>
  <c r="I92" i="5"/>
  <c r="G92" i="5"/>
  <c r="G94" i="5" s="1"/>
  <c r="F92" i="5"/>
  <c r="F94" i="5" s="1"/>
  <c r="E92" i="5"/>
  <c r="E94" i="5" s="1"/>
  <c r="D92" i="5"/>
  <c r="D94" i="5" s="1"/>
  <c r="C92" i="5"/>
  <c r="C94" i="5" s="1"/>
  <c r="V90" i="5"/>
  <c r="W90" i="5" s="1"/>
  <c r="P90" i="5"/>
  <c r="N90" i="5"/>
  <c r="O90" i="5" s="1"/>
  <c r="V89" i="5"/>
  <c r="W89" i="5" s="1"/>
  <c r="P89" i="5"/>
  <c r="N89" i="5"/>
  <c r="O89" i="5" s="1"/>
  <c r="I89" i="5"/>
  <c r="V88" i="5"/>
  <c r="W88" i="5" s="1"/>
  <c r="P88" i="5"/>
  <c r="N88" i="5"/>
  <c r="O88" i="5" s="1"/>
  <c r="V87" i="5"/>
  <c r="W87" i="5" s="1"/>
  <c r="P87" i="5"/>
  <c r="L87" i="5"/>
  <c r="K87" i="5"/>
  <c r="K94" i="5" s="1"/>
  <c r="K37" i="10" s="1"/>
  <c r="K65" i="10" s="1"/>
  <c r="I87" i="5"/>
  <c r="V86" i="5"/>
  <c r="W86" i="5" s="1"/>
  <c r="N86" i="5"/>
  <c r="O86" i="5" s="1"/>
  <c r="V85" i="5"/>
  <c r="W85" i="5" s="1"/>
  <c r="N85" i="5"/>
  <c r="O85" i="5" s="1"/>
  <c r="V84" i="5"/>
  <c r="W84" i="5" s="1"/>
  <c r="P84" i="5"/>
  <c r="N84" i="5"/>
  <c r="O84" i="5" s="1"/>
  <c r="V83" i="5"/>
  <c r="W83" i="5" s="1"/>
  <c r="S83" i="5"/>
  <c r="P83" i="5"/>
  <c r="N83" i="5"/>
  <c r="O83" i="5" s="1"/>
  <c r="N77" i="5"/>
  <c r="O77" i="5" s="1"/>
  <c r="AD68" i="5"/>
  <c r="AB68" i="5"/>
  <c r="AA68" i="5"/>
  <c r="Z68" i="5"/>
  <c r="Y68" i="5"/>
  <c r="U68" i="5"/>
  <c r="T68" i="5"/>
  <c r="P68" i="5"/>
  <c r="L68" i="5"/>
  <c r="I68" i="5"/>
  <c r="G68" i="5"/>
  <c r="F68" i="5"/>
  <c r="E68" i="5"/>
  <c r="D68" i="5"/>
  <c r="U57" i="5"/>
  <c r="U36" i="10" s="1"/>
  <c r="U64" i="10" s="1"/>
  <c r="T57" i="5"/>
  <c r="S57" i="5"/>
  <c r="R57" i="5"/>
  <c r="M57" i="5"/>
  <c r="L57" i="5"/>
  <c r="G57" i="5"/>
  <c r="F57" i="5"/>
  <c r="D57" i="5"/>
  <c r="C57" i="5"/>
  <c r="W55" i="5"/>
  <c r="O55" i="5"/>
  <c r="W54" i="5"/>
  <c r="O54" i="5"/>
  <c r="AD53" i="5"/>
  <c r="AB82" i="10" s="1"/>
  <c r="AB53" i="5"/>
  <c r="Z82" i="10" s="1"/>
  <c r="Y82" i="10"/>
  <c r="X82" i="10"/>
  <c r="V53" i="5"/>
  <c r="W53" i="5" s="1"/>
  <c r="P53" i="5"/>
  <c r="N53" i="5"/>
  <c r="O53" i="5" s="1"/>
  <c r="K53" i="5"/>
  <c r="I53" i="5"/>
  <c r="X81" i="10"/>
  <c r="V52" i="5"/>
  <c r="W52" i="5" s="1"/>
  <c r="N52" i="5"/>
  <c r="O52" i="5" s="1"/>
  <c r="H52" i="5"/>
  <c r="V51" i="5"/>
  <c r="W51" i="5" s="1"/>
  <c r="P51" i="5"/>
  <c r="N51" i="5"/>
  <c r="O51" i="5" s="1"/>
  <c r="H51" i="5"/>
  <c r="V49" i="5"/>
  <c r="W49" i="5" s="1"/>
  <c r="P49" i="5"/>
  <c r="N49" i="5"/>
  <c r="H49" i="5"/>
  <c r="V48" i="5"/>
  <c r="W48" i="5" s="1"/>
  <c r="P48" i="5"/>
  <c r="N48" i="5"/>
  <c r="O48" i="5" s="1"/>
  <c r="H48" i="5"/>
  <c r="AD45" i="5"/>
  <c r="AB45" i="5"/>
  <c r="AA45" i="5"/>
  <c r="Z45" i="5"/>
  <c r="Y45" i="5"/>
  <c r="U45" i="5"/>
  <c r="T45" i="5"/>
  <c r="P45" i="5"/>
  <c r="L45" i="5"/>
  <c r="I45" i="5"/>
  <c r="G45" i="5"/>
  <c r="AD44" i="5"/>
  <c r="AB44" i="5"/>
  <c r="AA44" i="5"/>
  <c r="Z44" i="5"/>
  <c r="Y44" i="5"/>
  <c r="U44" i="5"/>
  <c r="T44" i="5"/>
  <c r="P44" i="5"/>
  <c r="L44" i="5"/>
  <c r="I44" i="5"/>
  <c r="G44" i="5"/>
  <c r="AD43" i="5"/>
  <c r="AB43" i="5"/>
  <c r="AA43" i="5"/>
  <c r="Z43" i="5"/>
  <c r="Y43" i="5"/>
  <c r="U43" i="5"/>
  <c r="T43" i="5"/>
  <c r="P43" i="5"/>
  <c r="L43" i="5"/>
  <c r="I43" i="5"/>
  <c r="G43" i="5"/>
  <c r="AD42" i="5"/>
  <c r="AB42" i="5"/>
  <c r="AA42" i="5"/>
  <c r="Z42" i="5"/>
  <c r="Y42" i="5"/>
  <c r="U42" i="5"/>
  <c r="T42" i="5"/>
  <c r="P42" i="5"/>
  <c r="L42" i="5"/>
  <c r="I42" i="5"/>
  <c r="G42" i="5"/>
  <c r="AD41" i="5"/>
  <c r="AB41" i="5"/>
  <c r="AA41" i="5"/>
  <c r="Z41" i="5"/>
  <c r="Y41" i="5"/>
  <c r="U41" i="5"/>
  <c r="T41" i="5"/>
  <c r="P41" i="5"/>
  <c r="L41" i="5"/>
  <c r="I41" i="5"/>
  <c r="G41" i="5"/>
  <c r="AD40" i="5"/>
  <c r="AB40" i="5"/>
  <c r="AA40" i="5"/>
  <c r="Z40" i="5"/>
  <c r="Y40" i="5"/>
  <c r="U40" i="5"/>
  <c r="T40" i="5"/>
  <c r="P40" i="5"/>
  <c r="L40" i="5"/>
  <c r="I40" i="5"/>
  <c r="G40" i="5"/>
  <c r="AD39" i="5"/>
  <c r="AB39" i="5"/>
  <c r="AA39" i="5"/>
  <c r="Z39" i="5"/>
  <c r="Y39" i="5"/>
  <c r="U39" i="5"/>
  <c r="T39" i="5"/>
  <c r="P39" i="5"/>
  <c r="L39" i="5"/>
  <c r="I39" i="5"/>
  <c r="G39" i="5"/>
  <c r="M36" i="5"/>
  <c r="T20" i="5"/>
  <c r="S34" i="5"/>
  <c r="S20" i="5" s="1"/>
  <c r="R34" i="5"/>
  <c r="R36" i="5" s="1"/>
  <c r="P34" i="5"/>
  <c r="P20" i="5" s="1"/>
  <c r="N34" i="5"/>
  <c r="O34" i="5" s="1"/>
  <c r="K34" i="5"/>
  <c r="K20" i="5" s="1"/>
  <c r="F20" i="5"/>
  <c r="E20" i="5"/>
  <c r="B32" i="5"/>
  <c r="AD31" i="5"/>
  <c r="AD17" i="5" s="1"/>
  <c r="AB18" i="10" s="1"/>
  <c r="V31" i="5"/>
  <c r="W31" i="5" s="1"/>
  <c r="P31" i="5"/>
  <c r="P17" i="5" s="1"/>
  <c r="L31" i="5"/>
  <c r="N31" i="5" s="1"/>
  <c r="O31" i="5" s="1"/>
  <c r="E17" i="5"/>
  <c r="AD29" i="5"/>
  <c r="AB29" i="5"/>
  <c r="V29" i="5"/>
  <c r="W29" i="5" s="1"/>
  <c r="T29" i="5"/>
  <c r="S29" i="5"/>
  <c r="P29" i="5"/>
  <c r="L29" i="5"/>
  <c r="N29" i="5" s="1"/>
  <c r="O29" i="5" s="1"/>
  <c r="K29" i="5"/>
  <c r="V28" i="5"/>
  <c r="W28" i="5" s="1"/>
  <c r="P28" i="5"/>
  <c r="L28" i="5"/>
  <c r="N28" i="5" s="1"/>
  <c r="O28" i="5" s="1"/>
  <c r="K28" i="5"/>
  <c r="I28" i="5"/>
  <c r="V27" i="5"/>
  <c r="W27" i="5" s="1"/>
  <c r="S27" i="5"/>
  <c r="P27" i="5"/>
  <c r="L27" i="5"/>
  <c r="K27" i="5"/>
  <c r="Y24" i="5"/>
  <c r="Z24" i="5" s="1"/>
  <c r="AC24" i="5" s="1"/>
  <c r="R22" i="5"/>
  <c r="M22" i="5"/>
  <c r="H22" i="5"/>
  <c r="L20" i="5"/>
  <c r="N20" i="5" s="1"/>
  <c r="O20" i="5" s="1"/>
  <c r="I20" i="5"/>
  <c r="G20" i="5"/>
  <c r="G22" i="5" s="1"/>
  <c r="D20" i="5"/>
  <c r="C20" i="5"/>
  <c r="AD18" i="5"/>
  <c r="AB19" i="10" s="1"/>
  <c r="AB60" i="10" s="1"/>
  <c r="AB18" i="5"/>
  <c r="Z19" i="10" s="1"/>
  <c r="Z60" i="10" s="1"/>
  <c r="Z18" i="5"/>
  <c r="Y18" i="5"/>
  <c r="U18" i="5"/>
  <c r="U19" i="10" s="1"/>
  <c r="U60" i="10" s="1"/>
  <c r="T18" i="5"/>
  <c r="S18" i="5"/>
  <c r="K18" i="5"/>
  <c r="I18" i="5"/>
  <c r="V17" i="5"/>
  <c r="W17" i="5" s="1"/>
  <c r="T18" i="10"/>
  <c r="S17" i="5"/>
  <c r="K17" i="5"/>
  <c r="I17" i="5"/>
  <c r="F17" i="5"/>
  <c r="D17" i="5"/>
  <c r="C17" i="5"/>
  <c r="V15" i="5"/>
  <c r="W15" i="5" s="1"/>
  <c r="L15" i="5"/>
  <c r="P15" i="5" s="1"/>
  <c r="V14" i="5"/>
  <c r="W14" i="5" s="1"/>
  <c r="N14" i="5"/>
  <c r="O14" i="5" s="1"/>
  <c r="L13" i="5"/>
  <c r="N13" i="5" s="1"/>
  <c r="O13" i="5" s="1"/>
  <c r="V12" i="5"/>
  <c r="W12" i="5" s="1"/>
  <c r="N12" i="5"/>
  <c r="O12" i="5" s="1"/>
  <c r="V11" i="5"/>
  <c r="W11" i="5" s="1"/>
  <c r="P11" i="5"/>
  <c r="L11" i="5"/>
  <c r="N11" i="5" s="1"/>
  <c r="O11" i="5" s="1"/>
  <c r="I11" i="5"/>
  <c r="F11" i="5"/>
  <c r="E11" i="5"/>
  <c r="D11" i="5"/>
  <c r="C11" i="5"/>
  <c r="V10" i="5"/>
  <c r="W10" i="5" s="1"/>
  <c r="P10" i="5"/>
  <c r="N10" i="5"/>
  <c r="X19" i="10" l="1"/>
  <c r="K57" i="5"/>
  <c r="K82" i="10"/>
  <c r="K86" i="10" s="1"/>
  <c r="I57" i="5"/>
  <c r="I72" i="5" s="1"/>
  <c r="I82" i="10"/>
  <c r="I86" i="10" s="1"/>
  <c r="I101" i="10" s="1"/>
  <c r="D16" i="11"/>
  <c r="X86" i="10"/>
  <c r="X101" i="10" s="1"/>
  <c r="AB52" i="5"/>
  <c r="Z81" i="10" s="1"/>
  <c r="Z15" i="10"/>
  <c r="Z56" i="10" s="1"/>
  <c r="AD52" i="5"/>
  <c r="AB81" i="10" s="1"/>
  <c r="AB15" i="10"/>
  <c r="AB56" i="10" s="1"/>
  <c r="Y81" i="10"/>
  <c r="Y15" i="10"/>
  <c r="S36" i="10"/>
  <c r="S64" i="10" s="1"/>
  <c r="K36" i="10"/>
  <c r="K64" i="10" s="1"/>
  <c r="T36" i="10"/>
  <c r="T64" i="10" s="1"/>
  <c r="W19" i="10"/>
  <c r="W60" i="10" s="1"/>
  <c r="M75" i="5"/>
  <c r="M97" i="5" s="1"/>
  <c r="M117" i="5" s="1"/>
  <c r="H57" i="5"/>
  <c r="P36" i="5"/>
  <c r="P37" i="5" s="1"/>
  <c r="U20" i="5"/>
  <c r="F36" i="5"/>
  <c r="F75" i="5" s="1"/>
  <c r="F97" i="5" s="1"/>
  <c r="F117" i="5" s="1"/>
  <c r="C75" i="5"/>
  <c r="C97" i="5" s="1"/>
  <c r="C156" i="5" s="1"/>
  <c r="L17" i="5"/>
  <c r="N17" i="5" s="1"/>
  <c r="O17" i="5" s="1"/>
  <c r="L72" i="5"/>
  <c r="R75" i="5"/>
  <c r="R97" i="5" s="1"/>
  <c r="R117" i="5" s="1"/>
  <c r="AD87" i="5"/>
  <c r="I36" i="5"/>
  <c r="I37" i="5" s="1"/>
  <c r="D22" i="5"/>
  <c r="T36" i="5"/>
  <c r="G72" i="5"/>
  <c r="U72" i="5"/>
  <c r="I94" i="5"/>
  <c r="I37" i="10" s="1"/>
  <c r="I65" i="10" s="1"/>
  <c r="H27" i="5"/>
  <c r="H36" i="5" s="1"/>
  <c r="T94" i="5"/>
  <c r="T37" i="10" s="1"/>
  <c r="T65" i="10" s="1"/>
  <c r="P13" i="5"/>
  <c r="P22" i="5" s="1"/>
  <c r="I22" i="5"/>
  <c r="B18" i="6" s="1"/>
  <c r="T72" i="5"/>
  <c r="F72" i="5"/>
  <c r="E22" i="5"/>
  <c r="AD85" i="5"/>
  <c r="AD86" i="5"/>
  <c r="P57" i="5"/>
  <c r="S36" i="5"/>
  <c r="S75" i="5" s="1"/>
  <c r="AD89" i="5"/>
  <c r="S94" i="5"/>
  <c r="S37" i="10" s="1"/>
  <c r="C22" i="5"/>
  <c r="S22" i="5"/>
  <c r="D18" i="6" s="1"/>
  <c r="E57" i="5"/>
  <c r="E72" i="5" s="1"/>
  <c r="AD83" i="5"/>
  <c r="K36" i="5"/>
  <c r="K75" i="5" s="1"/>
  <c r="K97" i="5" s="1"/>
  <c r="K156" i="5" s="1"/>
  <c r="V22" i="5"/>
  <c r="W22" i="5" s="1"/>
  <c r="N27" i="5"/>
  <c r="L36" i="5"/>
  <c r="D37" i="5"/>
  <c r="D75" i="5"/>
  <c r="D97" i="5" s="1"/>
  <c r="D156" i="5" s="1"/>
  <c r="D72" i="5"/>
  <c r="AD88" i="5"/>
  <c r="G75" i="5"/>
  <c r="G97" i="5" s="1"/>
  <c r="G37" i="5"/>
  <c r="Y57" i="5"/>
  <c r="W36" i="10" s="1"/>
  <c r="W64" i="10" s="1"/>
  <c r="L94" i="5"/>
  <c r="N87" i="5"/>
  <c r="O87" i="5" s="1"/>
  <c r="N15" i="5"/>
  <c r="O15" i="5" s="1"/>
  <c r="N57" i="5"/>
  <c r="O57" i="5" s="1"/>
  <c r="O49" i="5"/>
  <c r="AB24" i="5"/>
  <c r="AA24" i="5"/>
  <c r="AD24" i="5" s="1"/>
  <c r="U36" i="5"/>
  <c r="O10" i="5"/>
  <c r="K22" i="5"/>
  <c r="C18" i="6" s="1"/>
  <c r="Y18" i="10"/>
  <c r="E36" i="5"/>
  <c r="V57" i="5"/>
  <c r="W57" i="5" s="1"/>
  <c r="V94" i="5"/>
  <c r="W94" i="5" s="1"/>
  <c r="P92" i="5"/>
  <c r="P94" i="5" s="1"/>
  <c r="Z57" i="5"/>
  <c r="F22" i="5"/>
  <c r="V34" i="5"/>
  <c r="W34" i="5" s="1"/>
  <c r="U94" i="5"/>
  <c r="U37" i="10" s="1"/>
  <c r="U65" i="10" s="1"/>
  <c r="Y56" i="10" l="1"/>
  <c r="B12" i="12"/>
  <c r="Y59" i="10"/>
  <c r="Y69" i="10" s="1"/>
  <c r="B14" i="12"/>
  <c r="X60" i="10"/>
  <c r="J40" i="7"/>
  <c r="T37" i="5"/>
  <c r="AC37" i="5"/>
  <c r="AB57" i="5"/>
  <c r="AB72" i="5" s="1"/>
  <c r="I36" i="10"/>
  <c r="I64" i="10" s="1"/>
  <c r="V20" i="5"/>
  <c r="W20" i="5" s="1"/>
  <c r="U21" i="10"/>
  <c r="D17" i="11"/>
  <c r="E17" i="11" s="1"/>
  <c r="Y86" i="10"/>
  <c r="Y101" i="10" s="1"/>
  <c r="D18" i="11"/>
  <c r="E18" i="11" s="1"/>
  <c r="Z86" i="10"/>
  <c r="Z101" i="10" s="1"/>
  <c r="D20" i="11"/>
  <c r="E20" i="11" s="1"/>
  <c r="AB86" i="10"/>
  <c r="AB101" i="10" s="1"/>
  <c r="E16" i="11"/>
  <c r="Z72" i="5"/>
  <c r="X36" i="10"/>
  <c r="X64" i="10" s="1"/>
  <c r="S65" i="10"/>
  <c r="H75" i="5"/>
  <c r="H97" i="5" s="1"/>
  <c r="H156" i="5" s="1"/>
  <c r="T75" i="5"/>
  <c r="P75" i="5"/>
  <c r="P97" i="5" s="1"/>
  <c r="P156" i="5" s="1"/>
  <c r="S97" i="5"/>
  <c r="R99" i="5"/>
  <c r="R101" i="5" s="1"/>
  <c r="F37" i="5"/>
  <c r="L22" i="5"/>
  <c r="N94" i="5"/>
  <c r="O94" i="5" s="1"/>
  <c r="I75" i="5"/>
  <c r="J75" i="5" s="1"/>
  <c r="Z94" i="5"/>
  <c r="X37" i="10" s="1"/>
  <c r="X65" i="10" s="1"/>
  <c r="V36" i="5"/>
  <c r="W36" i="5" s="1"/>
  <c r="N22" i="5"/>
  <c r="F156" i="5"/>
  <c r="Y72" i="5"/>
  <c r="Y94" i="5"/>
  <c r="W37" i="10" s="1"/>
  <c r="W65" i="10" s="1"/>
  <c r="P72" i="5"/>
  <c r="AD90" i="5"/>
  <c r="U37" i="5"/>
  <c r="U75" i="5"/>
  <c r="L37" i="5"/>
  <c r="L75" i="5"/>
  <c r="L97" i="5" s="1"/>
  <c r="AB17" i="5"/>
  <c r="Z18" i="10" s="1"/>
  <c r="E37" i="5"/>
  <c r="E75" i="5"/>
  <c r="E97" i="5" s="1"/>
  <c r="E156" i="5" s="1"/>
  <c r="AA57" i="5"/>
  <c r="AD57" i="5"/>
  <c r="G117" i="5"/>
  <c r="G156" i="5"/>
  <c r="O27" i="5"/>
  <c r="N36" i="5"/>
  <c r="AB59" i="10" l="1"/>
  <c r="AA67" i="10"/>
  <c r="Z36" i="10"/>
  <c r="Z64" i="10" s="1"/>
  <c r="U97" i="5"/>
  <c r="U123" i="5" s="1"/>
  <c r="U125" i="5" s="1"/>
  <c r="T97" i="5"/>
  <c r="T123" i="5" s="1"/>
  <c r="T125" i="5" s="1"/>
  <c r="U63" i="10"/>
  <c r="D22" i="11"/>
  <c r="E22" i="11"/>
  <c r="AA72" i="5"/>
  <c r="Y36" i="10"/>
  <c r="Y64" i="10" s="1"/>
  <c r="AD72" i="5"/>
  <c r="AB36" i="10"/>
  <c r="AB64" i="10" s="1"/>
  <c r="H117" i="5"/>
  <c r="J34" i="5"/>
  <c r="J31" i="5"/>
  <c r="J57" i="5"/>
  <c r="J52" i="5"/>
  <c r="I97" i="5"/>
  <c r="I117" i="5" s="1"/>
  <c r="V75" i="5"/>
  <c r="W75" i="5" s="1"/>
  <c r="J36" i="5"/>
  <c r="J48" i="5"/>
  <c r="J49" i="5"/>
  <c r="J53" i="5"/>
  <c r="J29" i="5"/>
  <c r="J27" i="5"/>
  <c r="J51" i="5"/>
  <c r="O22" i="5"/>
  <c r="J28" i="5"/>
  <c r="AB94" i="5"/>
  <c r="Z37" i="10" s="1"/>
  <c r="Z65" i="10" s="1"/>
  <c r="AD92" i="5"/>
  <c r="AD94" i="5" s="1"/>
  <c r="AB37" i="10" s="1"/>
  <c r="AB65" i="10" s="1"/>
  <c r="AA94" i="5"/>
  <c r="Y37" i="10" s="1"/>
  <c r="Y65" i="10" s="1"/>
  <c r="N75" i="5"/>
  <c r="O36" i="5"/>
  <c r="L117" i="5"/>
  <c r="L156" i="5"/>
  <c r="U156" i="5" l="1"/>
  <c r="U99" i="5"/>
  <c r="U101" i="5" s="1"/>
  <c r="T99" i="5"/>
  <c r="T101" i="5" s="1"/>
  <c r="T156" i="5"/>
  <c r="C24" i="11"/>
  <c r="B24" i="11"/>
  <c r="D24" i="11"/>
  <c r="V97" i="5"/>
  <c r="W97" i="5" s="1"/>
  <c r="I156" i="5"/>
  <c r="O75" i="5"/>
  <c r="N97" i="5"/>
  <c r="E24" i="11" l="1"/>
  <c r="N156" i="5"/>
  <c r="O156" i="5" s="1"/>
  <c r="O97" i="5"/>
  <c r="C35" i="4" l="1"/>
  <c r="I31" i="10" s="1"/>
  <c r="I55" i="10" s="1"/>
  <c r="I67" i="10" s="1"/>
  <c r="C21" i="4"/>
  <c r="I35" i="4"/>
  <c r="W31" i="10" s="1"/>
  <c r="N13" i="4"/>
  <c r="N41" i="4" s="1"/>
  <c r="N49" i="4" s="1"/>
  <c r="L13" i="4"/>
  <c r="L41" i="4" s="1"/>
  <c r="L49" i="4" s="1"/>
  <c r="I21" i="4"/>
  <c r="J21" i="4"/>
  <c r="Z13" i="5" s="1"/>
  <c r="E35" i="4"/>
  <c r="S31" i="10" s="1"/>
  <c r="F35" i="4"/>
  <c r="T31" i="10" s="1"/>
  <c r="G35" i="4"/>
  <c r="U31" i="10" s="1"/>
  <c r="D35" i="4"/>
  <c r="K31" i="10" s="1"/>
  <c r="G21" i="4"/>
  <c r="U13" i="5" s="1"/>
  <c r="F21" i="4"/>
  <c r="X14" i="10" l="1"/>
  <c r="U14" i="10"/>
  <c r="U55" i="10" s="1"/>
  <c r="U67" i="10" s="1"/>
  <c r="V13" i="5"/>
  <c r="W13" i="5" s="1"/>
  <c r="U22" i="5"/>
  <c r="F18" i="6" s="1"/>
  <c r="T13" i="5"/>
  <c r="Y13" i="5"/>
  <c r="K55" i="10"/>
  <c r="K67" i="10" s="1"/>
  <c r="K39" i="10"/>
  <c r="W39" i="10"/>
  <c r="S55" i="10"/>
  <c r="S67" i="10" s="1"/>
  <c r="S39" i="10"/>
  <c r="D20" i="6" s="1"/>
  <c r="L21" i="4"/>
  <c r="AB13" i="5" s="1"/>
  <c r="Z14" i="10" s="1"/>
  <c r="L35" i="4"/>
  <c r="Z31" i="10" s="1"/>
  <c r="Z39" i="10" s="1"/>
  <c r="J35" i="4"/>
  <c r="K162" i="10" l="1"/>
  <c r="C20" i="6"/>
  <c r="J36" i="7"/>
  <c r="U23" i="10"/>
  <c r="T14" i="10"/>
  <c r="T22" i="5"/>
  <c r="W14" i="10"/>
  <c r="W40" i="10"/>
  <c r="Z55" i="10"/>
  <c r="X31" i="10"/>
  <c r="Z105" i="10"/>
  <c r="Z107" i="10" s="1"/>
  <c r="Z40" i="10"/>
  <c r="N21" i="4"/>
  <c r="AD13" i="5" s="1"/>
  <c r="AB14" i="10" s="1"/>
  <c r="K21" i="4"/>
  <c r="K35" i="4"/>
  <c r="Y31" i="10" s="1"/>
  <c r="Y39" i="10" s="1"/>
  <c r="I20" i="6" s="1"/>
  <c r="N35" i="4"/>
  <c r="AB31" i="10" s="1"/>
  <c r="AB39" i="10" s="1"/>
  <c r="AA13" i="5" l="1"/>
  <c r="Y14" i="10" s="1"/>
  <c r="X22" i="5"/>
  <c r="T23" i="10"/>
  <c r="T55" i="10"/>
  <c r="W23" i="10"/>
  <c r="W55" i="10"/>
  <c r="W67" i="10" s="1"/>
  <c r="W71" i="10" s="1"/>
  <c r="AB55" i="10"/>
  <c r="X39" i="10"/>
  <c r="X55" i="10"/>
  <c r="Y40" i="10"/>
  <c r="Y105" i="10"/>
  <c r="Y107" i="10" s="1"/>
  <c r="E21" i="4"/>
  <c r="D21" i="4"/>
  <c r="Y55" i="10" l="1"/>
  <c r="B11" i="12"/>
  <c r="G18" i="6"/>
  <c r="X40" i="10"/>
  <c r="H20" i="6"/>
  <c r="AD36" i="5"/>
  <c r="AD37" i="5" s="1"/>
  <c r="AB36" i="5"/>
  <c r="AA20" i="5"/>
  <c r="Z20" i="5"/>
  <c r="Y36" i="5"/>
  <c r="Y37" i="5" s="1"/>
  <c r="AA22" i="5" l="1"/>
  <c r="Y21" i="10"/>
  <c r="B17" i="12" s="1"/>
  <c r="B19" i="12" s="1"/>
  <c r="Z22" i="5"/>
  <c r="H18" i="6" s="1"/>
  <c r="X21" i="10"/>
  <c r="AD20" i="5"/>
  <c r="AB37" i="5"/>
  <c r="AB75" i="5"/>
  <c r="AB97" i="5" s="1"/>
  <c r="Y22" i="5"/>
  <c r="Y75" i="5"/>
  <c r="Y97" i="5" s="1"/>
  <c r="Z36" i="5"/>
  <c r="AA36" i="5"/>
  <c r="AB20" i="5"/>
  <c r="AD75" i="5"/>
  <c r="AD97" i="5" s="1"/>
  <c r="J42" i="7" l="1"/>
  <c r="X63" i="10"/>
  <c r="X67" i="10" s="1"/>
  <c r="X23" i="10"/>
  <c r="Y63" i="10"/>
  <c r="Y67" i="10" s="1"/>
  <c r="Y71" i="10" s="1"/>
  <c r="Y23" i="10"/>
  <c r="AB22" i="5"/>
  <c r="Z21" i="10"/>
  <c r="AD22" i="5"/>
  <c r="AB21" i="10"/>
  <c r="AD99" i="5"/>
  <c r="AD101" i="5" s="1"/>
  <c r="Y99" i="5"/>
  <c r="Y101" i="5" s="1"/>
  <c r="V156" i="5"/>
  <c r="AB99" i="5"/>
  <c r="AB101" i="5" s="1"/>
  <c r="AA37" i="5"/>
  <c r="AA75" i="5"/>
  <c r="AA97" i="5" s="1"/>
  <c r="Z37" i="5"/>
  <c r="Z75" i="5"/>
  <c r="Z97" i="5" s="1"/>
  <c r="J7" i="9" l="1"/>
  <c r="K7" i="9" s="1"/>
  <c r="X71" i="10"/>
  <c r="C12" i="12"/>
  <c r="C9" i="12"/>
  <c r="C8" i="12"/>
  <c r="C16" i="12"/>
  <c r="C11" i="12"/>
  <c r="C15" i="12"/>
  <c r="C14" i="12"/>
  <c r="C13" i="12"/>
  <c r="C17" i="12"/>
  <c r="C10" i="12"/>
  <c r="Z63" i="10"/>
  <c r="Z67" i="10" s="1"/>
  <c r="Z23" i="10"/>
  <c r="AB63" i="10"/>
  <c r="AB67" i="10" s="1"/>
  <c r="AB23" i="10"/>
  <c r="Y156" i="5"/>
  <c r="W156" i="5"/>
  <c r="L7" i="9" l="1"/>
  <c r="M7" i="9" s="1"/>
  <c r="N7" i="9" s="1"/>
  <c r="C19" i="12"/>
  <c r="I39" i="10"/>
  <c r="I23" i="10"/>
  <c r="J77" i="10" l="1"/>
  <c r="B20" i="6"/>
  <c r="I40" i="10"/>
  <c r="J86" i="10"/>
  <c r="J78" i="10"/>
  <c r="J39" i="10"/>
  <c r="J82" i="10"/>
  <c r="J81" i="10"/>
  <c r="J28" i="10"/>
  <c r="J80" i="10"/>
  <c r="I123" i="10" l="1"/>
  <c r="I162" i="10"/>
  <c r="U39" i="10"/>
  <c r="F20" i="6" s="1"/>
  <c r="U101" i="10" l="1"/>
  <c r="AB40" i="10"/>
  <c r="U40" i="10"/>
  <c r="U162" i="10" l="1"/>
  <c r="U105" i="10"/>
  <c r="U107" i="10" s="1"/>
  <c r="U129" i="10"/>
  <c r="U131" i="10" s="1"/>
  <c r="T52" i="10" l="1"/>
  <c r="T67" i="10" s="1"/>
  <c r="T39" i="10"/>
  <c r="E20" i="6" s="1"/>
  <c r="T40" i="10" l="1"/>
  <c r="AA4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Moritz</author>
  </authors>
  <commentList>
    <comment ref="T16" authorId="0" shapeId="0" xr:uid="{3A8CA96B-128F-4B97-9770-82162DA8CB50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Adoption of ASU 2018-08 - $12,887,516</t>
        </r>
      </text>
    </comment>
    <comment ref="T21" authorId="0" shapeId="0" xr:uid="{72919CD9-BFDD-40FD-BCC7-EEC3D3F02D23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decreased by $1 to balance to Budget Schedule 1</t>
        </r>
      </text>
    </comment>
    <comment ref="T32" authorId="0" shapeId="0" xr:uid="{14ED59A6-EC83-40C2-9DDE-77970684A377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decreased by $1 to balance to Budget Schedule 1</t>
        </r>
      </text>
    </comment>
    <comment ref="Y32" authorId="0" shapeId="0" xr:uid="{3C8A786E-574A-4C78-9C37-DCC4A70A2389}">
      <text>
        <r>
          <rPr>
            <b/>
            <sz val="9"/>
            <color indexed="81"/>
            <rFont val="Tahoma"/>
            <family val="2"/>
          </rPr>
          <t>Denise Moritz:</t>
        </r>
        <r>
          <rPr>
            <sz val="9"/>
            <color indexed="81"/>
            <rFont val="Tahoma"/>
            <family val="2"/>
          </rPr>
          <t xml:space="preserve">
adjusted by $123 to agree with Budget Schedules</t>
        </r>
      </text>
    </comment>
    <comment ref="W33" authorId="0" shapeId="0" xr:uid="{FC29D2A3-93D3-4B32-9DA2-99A608782DEB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decreased by $1 to balance to Budget Schedule 1</t>
        </r>
      </text>
    </comment>
    <comment ref="I37" authorId="0" shapeId="0" xr:uid="{7EA55455-E60A-4D03-8DC0-0F5C7765AAA0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decreased by $303 to balance to Budget Schedule 1</t>
        </r>
      </text>
    </comment>
    <comment ref="K37" authorId="0" shapeId="0" xr:uid="{AD7255CD-7E04-4DE9-B3BD-C2242BB45E13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decreased by $2 to balance to Budget Schedule 1</t>
        </r>
      </text>
    </comment>
    <comment ref="W71" authorId="0" shapeId="0" xr:uid="{72A86180-0E53-4E6E-B238-1B1F943B50C5}">
      <text>
        <r>
          <rPr>
            <b/>
            <sz val="9"/>
            <color indexed="81"/>
            <rFont val="Tahoma"/>
            <family val="2"/>
          </rPr>
          <t>Denise Moritz:</t>
        </r>
        <r>
          <rPr>
            <sz val="9"/>
            <color indexed="81"/>
            <rFont val="Tahoma"/>
            <family val="2"/>
          </rPr>
          <t xml:space="preserve">
See BARC #3.1 for Strategies for Budget Deficit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Moritz</author>
  </authors>
  <commentList>
    <comment ref="T15" authorId="0" shapeId="0" xr:uid="{4087463D-315D-4299-87F1-F0B09D188FB4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Adoption of ASU 2018-08 - $12,887,516</t>
        </r>
      </text>
    </comment>
    <comment ref="U90" authorId="0" shapeId="0" xr:uid="{64513950-2C18-4D17-BAB2-6CA42ABE581F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included Unit 511 in Gen Adm</t>
        </r>
      </text>
    </comment>
    <comment ref="X90" authorId="0" shapeId="0" xr:uid="{8C4BB171-E131-4225-9DBD-E6F1B8C59CBB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included Unit 511 in Gen Adm</t>
        </r>
      </text>
    </comment>
    <comment ref="U92" authorId="0" shapeId="0" xr:uid="{B71C9FC4-EC9D-4E18-9A39-383CEFD7DD36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(1) includes Unit 511</t>
        </r>
      </text>
    </comment>
    <comment ref="X92" authorId="0" shapeId="0" xr:uid="{C3A69E0D-A139-4497-8BF5-8B47E54FDC6C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(1) includes Unit 511</t>
        </r>
      </text>
    </comment>
    <comment ref="Y92" authorId="0" shapeId="0" xr:uid="{A7E36DAE-1DEB-48CD-A3AB-C18979F1F4CA}">
      <text>
        <r>
          <rPr>
            <b/>
            <sz val="8"/>
            <color indexed="81"/>
            <rFont val="Tahoma"/>
            <family val="2"/>
          </rPr>
          <t>Denise Moritz:</t>
        </r>
        <r>
          <rPr>
            <sz val="8"/>
            <color indexed="81"/>
            <rFont val="Tahoma"/>
            <family val="2"/>
          </rPr>
          <t xml:space="preserve">
increased by $1 to balance to Budget Schedule 2</t>
        </r>
      </text>
    </comment>
  </commentList>
</comments>
</file>

<file path=xl/sharedStrings.xml><?xml version="1.0" encoding="utf-8"?>
<sst xmlns="http://schemas.openxmlformats.org/spreadsheetml/2006/main" count="438" uniqueCount="190">
  <si>
    <t xml:space="preserve">Key Assumptions:  </t>
  </si>
  <si>
    <r>
      <rPr>
        <sz val="11"/>
        <color rgb="FFFF0000"/>
        <rFont val="Calibri"/>
        <family val="2"/>
        <scheme val="minor"/>
      </rPr>
      <t>ALA</t>
    </r>
    <r>
      <rPr>
        <sz val="11"/>
        <color rgb="FF0070C0"/>
        <rFont val="Calibri"/>
        <family val="2"/>
        <scheme val="minor"/>
      </rPr>
      <t>AmericanLibraryAssociation</t>
    </r>
  </si>
  <si>
    <t xml:space="preserve"> </t>
  </si>
  <si>
    <t>Difference</t>
  </si>
  <si>
    <t>(presented at</t>
  </si>
  <si>
    <t>2018 Annual Conference</t>
  </si>
  <si>
    <t>Actual 2013</t>
  </si>
  <si>
    <t xml:space="preserve"> Actual 2014</t>
  </si>
  <si>
    <t>Actual 2015</t>
  </si>
  <si>
    <t>Actual 2016</t>
  </si>
  <si>
    <t>2017 ORIG</t>
  </si>
  <si>
    <t>Actual 2017</t>
  </si>
  <si>
    <t>Budget 2018</t>
  </si>
  <si>
    <t>Projection 2018</t>
  </si>
  <si>
    <t>$</t>
  </si>
  <si>
    <t>%</t>
  </si>
  <si>
    <t>Fall 2017 Meetings)</t>
  </si>
  <si>
    <t>Budget 2019</t>
  </si>
  <si>
    <t>TOTAL ALA</t>
  </si>
  <si>
    <t>Interest Income and Investment Earnings</t>
  </si>
  <si>
    <t>Total Gross Revenue</t>
  </si>
  <si>
    <t>OVERHEAD RATE</t>
  </si>
  <si>
    <t>GENERAL FUND</t>
  </si>
  <si>
    <t>Publishing Net Revenue (Before NS Amortization)</t>
  </si>
  <si>
    <t>Conference Net Revenue</t>
  </si>
  <si>
    <t>Membership Dues, net</t>
  </si>
  <si>
    <t>Other</t>
  </si>
  <si>
    <t>Total Net Revenue and Income</t>
  </si>
  <si>
    <t>Net Revenue= Revenue minus expenses</t>
  </si>
  <si>
    <t>Washington</t>
  </si>
  <si>
    <t>MPS/Offices</t>
  </si>
  <si>
    <t>Executive Office</t>
  </si>
  <si>
    <t>Communications</t>
  </si>
  <si>
    <t>ITTS</t>
  </si>
  <si>
    <t>Finance</t>
  </si>
  <si>
    <t>Staff Support</t>
  </si>
  <si>
    <t>Publishing Overhead</t>
  </si>
  <si>
    <t>Conference Overhead</t>
  </si>
  <si>
    <t>Division Overhead</t>
  </si>
  <si>
    <t>Round Table Overhead</t>
  </si>
  <si>
    <t>Grant Overhead</t>
  </si>
  <si>
    <t>Total Overhead</t>
  </si>
  <si>
    <t>Incremental Expenses</t>
  </si>
  <si>
    <t>Inflation</t>
  </si>
  <si>
    <t>New Initiatives</t>
  </si>
  <si>
    <t xml:space="preserve">To Be Allocated </t>
  </si>
  <si>
    <t>Operating Technology Expense</t>
  </si>
  <si>
    <t>Salary and Benefit Increase @ 2%</t>
  </si>
  <si>
    <t>Total Incremental Expenses</t>
  </si>
  <si>
    <t>Program /Expense Reduction</t>
  </si>
  <si>
    <t>Total Expenses</t>
  </si>
  <si>
    <t>Net Revenue and Overhead</t>
  </si>
  <si>
    <t>General Fund Expenses</t>
  </si>
  <si>
    <t>Advocacy and Member Relations Offices</t>
  </si>
  <si>
    <t>Member and Customer Service</t>
  </si>
  <si>
    <t xml:space="preserve">General Administration Expenses </t>
  </si>
  <si>
    <t>Total General Fund Expenses</t>
  </si>
  <si>
    <t>Net General Fund Revenue (Expense) Before NS Amortization</t>
  </si>
  <si>
    <t>Use from Net Assets</t>
  </si>
  <si>
    <t>General Fund Net Revenue (Expense)</t>
  </si>
  <si>
    <t>Neal Schuman Amortization</t>
  </si>
  <si>
    <t>Net General Fund Revenue (Expense) After NS Amortization</t>
  </si>
  <si>
    <t>Note 1: FY 2019 includes Banned Books Week - $88k; Donations/Honoraria - $106k; ALA Leadership Institute - $66k; Office for Accreditation fees - $81k; Mailing List revenue - $80k</t>
  </si>
  <si>
    <t>TOTAL Existing Biz Growth</t>
  </si>
  <si>
    <t>IT Department</t>
  </si>
  <si>
    <t xml:space="preserve">Actual 2018  </t>
  </si>
  <si>
    <t>Washington Office</t>
  </si>
  <si>
    <t>Medical Benefits/CPI</t>
  </si>
  <si>
    <t xml:space="preserve">Other </t>
  </si>
  <si>
    <t>ALA Offices and Member Relations</t>
  </si>
  <si>
    <t>Actual 2019</t>
  </si>
  <si>
    <t xml:space="preserve">ALA 5-year Plan </t>
  </si>
  <si>
    <t>Plan 2026</t>
  </si>
  <si>
    <t>Plan 2025</t>
  </si>
  <si>
    <t>Budget 2022</t>
  </si>
  <si>
    <t>Contributed Revenue</t>
  </si>
  <si>
    <t>Continuing Education</t>
  </si>
  <si>
    <t>Continuing Education Overhead</t>
  </si>
  <si>
    <t>AASL</t>
  </si>
  <si>
    <t>ACRL</t>
  </si>
  <si>
    <t>ALSC</t>
  </si>
  <si>
    <t>ASGCLA</t>
  </si>
  <si>
    <t>CHOICE</t>
  </si>
  <si>
    <t>PLA</t>
  </si>
  <si>
    <t>RUSA</t>
  </si>
  <si>
    <t>UFL</t>
  </si>
  <si>
    <t>YALSA</t>
  </si>
  <si>
    <t>CORE</t>
  </si>
  <si>
    <t>Revenue</t>
  </si>
  <si>
    <t>American Association of School Librarians</t>
  </si>
  <si>
    <t>Association for Library Service to Children</t>
  </si>
  <si>
    <t>Association of College &amp; Research Libraries</t>
  </si>
  <si>
    <t>Public Library Association</t>
  </si>
  <si>
    <t>Reference &amp; User Services Association</t>
  </si>
  <si>
    <t>Young Adult Library Services Association</t>
  </si>
  <si>
    <t>United for Libraries</t>
  </si>
  <si>
    <t>Choice</t>
  </si>
  <si>
    <t>Association of Specialized, Government &amp; Cooperative Library Agencies</t>
  </si>
  <si>
    <t>Core: Leadership, Infrastructure, Futures (see Note 1)</t>
  </si>
  <si>
    <t>Prior to FY 2021, Core was three separate divisions: ALCTS, LITA and LLAMA.</t>
  </si>
  <si>
    <t>Expenses</t>
  </si>
  <si>
    <t>Total revenue</t>
  </si>
  <si>
    <t>Total expenses</t>
  </si>
  <si>
    <t>Conference</t>
  </si>
  <si>
    <t>Membership Dues</t>
  </si>
  <si>
    <t>Divisions</t>
  </si>
  <si>
    <t>Round Tables</t>
  </si>
  <si>
    <t>Grants</t>
  </si>
  <si>
    <t>FY 2015</t>
  </si>
  <si>
    <t>FY 2016</t>
  </si>
  <si>
    <t>FY 2017</t>
  </si>
  <si>
    <t>FY 2018</t>
  </si>
  <si>
    <t>FY 2019</t>
  </si>
  <si>
    <t>Short-term investment balance</t>
  </si>
  <si>
    <t>FY 2020</t>
  </si>
  <si>
    <t>FY 2021</t>
  </si>
  <si>
    <t>FY 2022</t>
  </si>
  <si>
    <t>FY 2023</t>
  </si>
  <si>
    <t>FY 2024</t>
  </si>
  <si>
    <t>FY 2025</t>
  </si>
  <si>
    <t>FY 2026</t>
  </si>
  <si>
    <r>
      <rPr>
        <sz val="18"/>
        <color rgb="FFFF0000"/>
        <rFont val="Calibri"/>
        <family val="2"/>
        <scheme val="minor"/>
      </rPr>
      <t>ALA</t>
    </r>
    <r>
      <rPr>
        <sz val="18"/>
        <color rgb="FF0070C0"/>
        <rFont val="Calibri"/>
        <family val="2"/>
        <scheme val="minor"/>
      </rPr>
      <t>AmericanLibraryAssociation</t>
    </r>
  </si>
  <si>
    <t>Total ALA Payroll</t>
  </si>
  <si>
    <t>Payroll and related expenses</t>
  </si>
  <si>
    <t>General Fund</t>
  </si>
  <si>
    <t>% to Total ALA Revenue</t>
  </si>
  <si>
    <t>Endowment Fund</t>
  </si>
  <si>
    <t>Peer metric **</t>
  </si>
  <si>
    <t>** Source - ASAE Association Operating Ratio Report, 15th Edition</t>
  </si>
  <si>
    <t>Occupancy - lease expense</t>
  </si>
  <si>
    <t>Continuing Education Net Revenue (Expense)</t>
  </si>
  <si>
    <t>This ASAE benchmark is not intended as a directive but rather allows associations to consider personnel ratios against peers in the industry.</t>
  </si>
  <si>
    <t>TOTAL ALA REVENUE</t>
  </si>
  <si>
    <t>Publishing (Before NS Amortization)</t>
  </si>
  <si>
    <t xml:space="preserve">Continuing Education </t>
  </si>
  <si>
    <t>GENERAL FUND - OVERHEAD</t>
  </si>
  <si>
    <t>Non-revenue generating offices and units</t>
  </si>
  <si>
    <t>Total overhead</t>
  </si>
  <si>
    <t>Overhead</t>
  </si>
  <si>
    <t>Memo Only</t>
  </si>
  <si>
    <t>TOTAL ALA EXPENSES</t>
  </si>
  <si>
    <t>Publishing</t>
  </si>
  <si>
    <t>Total ALA Revenue</t>
  </si>
  <si>
    <t>Overhead recovered - General Fund</t>
  </si>
  <si>
    <t>merged with RUSA</t>
  </si>
  <si>
    <t>Actual 2020</t>
  </si>
  <si>
    <t xml:space="preserve">Membership Dues </t>
  </si>
  <si>
    <t xml:space="preserve">Round Tables </t>
  </si>
  <si>
    <t>Endowment Fund and General Fund - Interest Income and Investment Earnings</t>
  </si>
  <si>
    <t>Endowment Fund (including scholarships and awards)</t>
  </si>
  <si>
    <t>Interest Income</t>
  </si>
  <si>
    <t>Total ALA Expenses</t>
  </si>
  <si>
    <t>General</t>
  </si>
  <si>
    <t>Fund</t>
  </si>
  <si>
    <t>Total</t>
  </si>
  <si>
    <t>Net revenue (expense)</t>
  </si>
  <si>
    <t>Publishing &amp; Media Department</t>
  </si>
  <si>
    <t>Overhead - General Fund, Divisions and Round Tables</t>
  </si>
  <si>
    <t>Budget 2023</t>
  </si>
  <si>
    <t>Actual 2021</t>
  </si>
  <si>
    <t>(includes 5 furlough days)</t>
  </si>
  <si>
    <t>(includes 18 furlough days)</t>
  </si>
  <si>
    <t>- Increase in contributed revenue predicated on 5-6 year campaign to raise $20-$30 million</t>
  </si>
  <si>
    <t>Plan 2027</t>
  </si>
  <si>
    <t>FY 2017 through FY 2027</t>
  </si>
  <si>
    <t>- Annual 10% Increase Health Care Expense</t>
  </si>
  <si>
    <t>- Inflation 5-7%</t>
  </si>
  <si>
    <t>FY 2027</t>
  </si>
  <si>
    <t>5 Year Plan FY 2023-2027</t>
  </si>
  <si>
    <t>% to Total ALA Expenses</t>
  </si>
  <si>
    <t xml:space="preserve">- Annual staff salary increases of 3% </t>
  </si>
  <si>
    <r>
      <rPr>
        <b/>
        <sz val="16"/>
        <color rgb="FFFF0000"/>
        <rFont val="Arial"/>
        <family val="2"/>
      </rPr>
      <t>ALA</t>
    </r>
    <r>
      <rPr>
        <b/>
        <sz val="16"/>
        <color rgb="FF0070C0"/>
        <rFont val="Arial"/>
        <family val="2"/>
      </rPr>
      <t>AmericanLibraryAssociation</t>
    </r>
  </si>
  <si>
    <t>Gross Revenue Percentages</t>
  </si>
  <si>
    <r>
      <rPr>
        <b/>
        <sz val="18"/>
        <color rgb="FFFF0000"/>
        <rFont val="Calibri"/>
        <family val="2"/>
        <scheme val="minor"/>
      </rPr>
      <t>ALA</t>
    </r>
    <r>
      <rPr>
        <b/>
        <sz val="18"/>
        <color rgb="FF0070C0"/>
        <rFont val="Calibri"/>
        <family val="2"/>
        <scheme val="minor"/>
      </rPr>
      <t>AmericanLibraryAssociation</t>
    </r>
  </si>
  <si>
    <t>General Fund overhead comes from the Publishing &amp; Media Department, Conferences and Continuing Education.</t>
  </si>
  <si>
    <r>
      <t xml:space="preserve">NOTE 1: </t>
    </r>
    <r>
      <rPr>
        <sz val="11"/>
        <rFont val="Calibri"/>
        <family val="2"/>
        <scheme val="minor"/>
      </rPr>
      <t>The short-term investment balance includes ALA's obligations for pass-through grants.</t>
    </r>
  </si>
  <si>
    <t>Budget 2024</t>
  </si>
  <si>
    <t>Actual 2022</t>
  </si>
  <si>
    <r>
      <rPr>
        <b/>
        <sz val="10"/>
        <color rgb="FFFF0000"/>
        <rFont val="Arial"/>
        <family val="2"/>
      </rPr>
      <t>NOTE 1:</t>
    </r>
    <r>
      <rPr>
        <b/>
        <sz val="10"/>
        <rFont val="Arial"/>
        <family val="2"/>
      </rPr>
      <t xml:space="preserve"> Depreciation and amortization expense associated with capital requests are included in the 5-year plan.</t>
    </r>
  </si>
  <si>
    <r>
      <rPr>
        <b/>
        <sz val="10"/>
        <color rgb="FFFF0000"/>
        <rFont val="Arial"/>
        <family val="2"/>
      </rPr>
      <t>NOTE 2:</t>
    </r>
    <r>
      <rPr>
        <b/>
        <sz val="10"/>
        <rFont val="Arial"/>
        <family val="2"/>
      </rPr>
      <t xml:space="preserve"> 5-year figures reflect current working assumptions and are to be used to facilitate discussion only with BARC member leaders and Executive Board members.</t>
    </r>
  </si>
  <si>
    <t>See BARC #3.23</t>
  </si>
  <si>
    <t>Grant - PPP loan forgiveness and Employee Retention Credit</t>
  </si>
  <si>
    <t>FY 2017 through FY 2024</t>
  </si>
  <si>
    <t>FY 2024 Budget</t>
  </si>
  <si>
    <t xml:space="preserve">NOTE 1: </t>
  </si>
  <si>
    <t>EBD #3.25</t>
  </si>
  <si>
    <t>BARC #3.25</t>
  </si>
  <si>
    <t>NET ALA SURPLUS (DEFICIT)</t>
  </si>
  <si>
    <t>Total Net ALA surplus (deficit)</t>
  </si>
  <si>
    <t>Total Net ALA surplus (deficit), excluding Endowment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</si>
</sst>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00_);_(* \(#,##0.0000\);_(* &quot;-&quot;??_);_(@_)"/>
    <numFmt numFmtId="167" formatCode="_(* #,##0.000_);_(* \(#,##0.000\);_(* &quot;-&quot;??_);_(@_)"/>
    <numFmt numFmtId="168" formatCode="_(* #,##0_);_(* \(#,##0\);_(* &quot;-&quot;??_);_(@_)"/>
    <numFmt numFmtId="169" formatCode="&quot;$&quot;#,##0.00"/>
    <numFmt numFmtId="170" formatCode="_(* #,##0.0000_);_(* \(#,##0.0000\);_(* &quot;-&quot;????_);_(@_)"/>
    <numFmt numFmtId="171" formatCode="#,##0;[Red]#,##0"/>
    <numFmt numFmtId="172" formatCode="#,##0,;[Red]\(#,##0,\)"/>
    <numFmt numFmtId="173" formatCode="[$$-409]#,##0_);\([$$-409]#,##0\)"/>
    <numFmt numFmtId="174" formatCode="_-* #,##0.00_-;\-* #,##0.0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11"/>
      <color rgb="FF0070C0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1"/>
      <color rgb="FF0070C0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5" tint="-0.249977111117893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color rgb="FF0070C0"/>
      <name val="Arial"/>
      <family val="2"/>
    </font>
    <font>
      <b/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1" fillId="0" borderId="0"/>
    <xf numFmtId="0" fontId="42" fillId="0" borderId="0"/>
    <xf numFmtId="173" fontId="7" fillId="0" borderId="0"/>
    <xf numFmtId="17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1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32" fillId="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83">
    <xf numFmtId="0" fontId="0" fillId="0" borderId="0" xfId="0"/>
    <xf numFmtId="0" fontId="5" fillId="0" borderId="0" xfId="4" applyFont="1"/>
    <xf numFmtId="0" fontId="6" fillId="0" borderId="0" xfId="4" applyFont="1"/>
    <xf numFmtId="0" fontId="7" fillId="0" borderId="0" xfId="4" applyFont="1"/>
    <xf numFmtId="9" fontId="7" fillId="0" borderId="0" xfId="3" applyFont="1" applyFill="1"/>
    <xf numFmtId="0" fontId="8" fillId="0" borderId="0" xfId="4" applyFont="1"/>
    <xf numFmtId="0" fontId="8" fillId="0" borderId="0" xfId="4" quotePrefix="1" applyFont="1"/>
    <xf numFmtId="0" fontId="9" fillId="0" borderId="0" xfId="4" applyFont="1"/>
    <xf numFmtId="164" fontId="9" fillId="0" borderId="0" xfId="4" applyNumberFormat="1" applyFont="1"/>
    <xf numFmtId="165" fontId="9" fillId="0" borderId="0" xfId="3" applyNumberFormat="1" applyFont="1" applyFill="1" applyAlignment="1"/>
    <xf numFmtId="43" fontId="9" fillId="0" borderId="0" xfId="4" applyNumberFormat="1" applyFont="1"/>
    <xf numFmtId="6" fontId="11" fillId="0" borderId="0" xfId="4" applyNumberFormat="1" applyFont="1"/>
    <xf numFmtId="44" fontId="11" fillId="0" borderId="0" xfId="4" applyNumberFormat="1" applyFont="1"/>
    <xf numFmtId="164" fontId="11" fillId="0" borderId="0" xfId="4" applyNumberFormat="1" applyFont="1"/>
    <xf numFmtId="164" fontId="12" fillId="0" borderId="0" xfId="4" applyNumberFormat="1" applyFont="1"/>
    <xf numFmtId="0" fontId="13" fillId="0" borderId="0" xfId="4" applyFont="1"/>
    <xf numFmtId="166" fontId="13" fillId="0" borderId="0" xfId="4" applyNumberFormat="1" applyFont="1"/>
    <xf numFmtId="167" fontId="13" fillId="0" borderId="0" xfId="1" applyNumberFormat="1" applyFont="1" applyFill="1" applyAlignment="1"/>
    <xf numFmtId="43" fontId="13" fillId="0" borderId="0" xfId="1" applyFont="1" applyFill="1" applyAlignment="1"/>
    <xf numFmtId="43" fontId="11" fillId="0" borderId="0" xfId="1" applyFont="1" applyFill="1" applyAlignment="1"/>
    <xf numFmtId="165" fontId="13" fillId="0" borderId="0" xfId="3" applyNumberFormat="1" applyFont="1" applyFill="1" applyAlignment="1"/>
    <xf numFmtId="165" fontId="14" fillId="0" borderId="0" xfId="3" applyNumberFormat="1" applyFont="1" applyFill="1" applyAlignment="1"/>
    <xf numFmtId="0" fontId="7" fillId="0" borderId="0" xfId="4" applyFont="1" applyAlignment="1">
      <alignment horizontal="center" wrapText="1"/>
    </xf>
    <xf numFmtId="9" fontId="15" fillId="0" borderId="0" xfId="1" applyNumberFormat="1" applyFont="1" applyFill="1" applyAlignment="1"/>
    <xf numFmtId="168" fontId="15" fillId="0" borderId="0" xfId="1" applyNumberFormat="1" applyFont="1" applyFill="1" applyAlignment="1"/>
    <xf numFmtId="0" fontId="6" fillId="0" borderId="0" xfId="4" applyFont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7" fillId="0" borderId="4" xfId="4" applyFont="1" applyBorder="1"/>
    <xf numFmtId="0" fontId="7" fillId="0" borderId="5" xfId="4" applyFont="1" applyBorder="1"/>
    <xf numFmtId="0" fontId="7" fillId="2" borderId="0" xfId="4" applyFont="1" applyFill="1"/>
    <xf numFmtId="0" fontId="7" fillId="2" borderId="6" xfId="4" applyFont="1" applyFill="1" applyBorder="1"/>
    <xf numFmtId="169" fontId="3" fillId="0" borderId="0" xfId="0" applyNumberFormat="1" applyFont="1"/>
    <xf numFmtId="169" fontId="3" fillId="0" borderId="5" xfId="0" applyNumberFormat="1" applyFont="1" applyBorder="1"/>
    <xf numFmtId="0" fontId="7" fillId="0" borderId="7" xfId="4" applyFont="1" applyBorder="1"/>
    <xf numFmtId="0" fontId="11" fillId="0" borderId="0" xfId="4" applyFont="1"/>
    <xf numFmtId="9" fontId="7" fillId="0" borderId="5" xfId="3" applyFont="1" applyFill="1" applyBorder="1"/>
    <xf numFmtId="9" fontId="7" fillId="2" borderId="0" xfId="3" applyFont="1" applyFill="1" applyBorder="1"/>
    <xf numFmtId="9" fontId="7" fillId="2" borderId="6" xfId="3" applyFont="1" applyFill="1" applyBorder="1"/>
    <xf numFmtId="9" fontId="7" fillId="0" borderId="0" xfId="3" applyFont="1" applyFill="1" applyBorder="1"/>
    <xf numFmtId="164" fontId="7" fillId="0" borderId="0" xfId="2" applyNumberFormat="1" applyFont="1" applyFill="1" applyProtection="1"/>
    <xf numFmtId="164" fontId="7" fillId="0" borderId="4" xfId="2" applyNumberFormat="1" applyFont="1" applyFill="1" applyBorder="1" applyProtection="1"/>
    <xf numFmtId="164" fontId="7" fillId="0" borderId="0" xfId="2" applyNumberFormat="1" applyFont="1" applyFill="1" applyBorder="1" applyProtection="1"/>
    <xf numFmtId="164" fontId="7" fillId="0" borderId="5" xfId="2" applyNumberFormat="1" applyFont="1" applyFill="1" applyBorder="1" applyProtection="1"/>
    <xf numFmtId="164" fontId="7" fillId="2" borderId="0" xfId="2" applyNumberFormat="1" applyFont="1" applyFill="1" applyBorder="1" applyProtection="1"/>
    <xf numFmtId="9" fontId="7" fillId="2" borderId="6" xfId="3" applyFont="1" applyFill="1" applyBorder="1" applyProtection="1"/>
    <xf numFmtId="164" fontId="7" fillId="0" borderId="8" xfId="2" applyNumberFormat="1" applyFont="1" applyFill="1" applyBorder="1" applyProtection="1"/>
    <xf numFmtId="168" fontId="7" fillId="0" borderId="0" xfId="1" applyNumberFormat="1" applyFont="1" applyFill="1" applyProtection="1"/>
    <xf numFmtId="168" fontId="7" fillId="0" borderId="4" xfId="1" applyNumberFormat="1" applyFont="1" applyFill="1" applyBorder="1" applyProtection="1"/>
    <xf numFmtId="168" fontId="7" fillId="0" borderId="0" xfId="1" applyNumberFormat="1" applyFont="1" applyFill="1" applyBorder="1" applyProtection="1"/>
    <xf numFmtId="168" fontId="7" fillId="0" borderId="5" xfId="1" applyNumberFormat="1" applyFont="1" applyFill="1" applyBorder="1" applyProtection="1"/>
    <xf numFmtId="168" fontId="7" fillId="2" borderId="0" xfId="1" applyNumberFormat="1" applyFont="1" applyFill="1" applyBorder="1" applyProtection="1"/>
    <xf numFmtId="168" fontId="7" fillId="0" borderId="8" xfId="1" applyNumberFormat="1" applyFont="1" applyFill="1" applyBorder="1" applyProtection="1"/>
    <xf numFmtId="168" fontId="7" fillId="0" borderId="4" xfId="4" applyNumberFormat="1" applyFont="1" applyBorder="1"/>
    <xf numFmtId="168" fontId="7" fillId="0" borderId="0" xfId="4" applyNumberFormat="1" applyFont="1"/>
    <xf numFmtId="168" fontId="7" fillId="0" borderId="5" xfId="4" applyNumberFormat="1" applyFont="1" applyBorder="1"/>
    <xf numFmtId="168" fontId="7" fillId="0" borderId="8" xfId="4" applyNumberFormat="1" applyFont="1" applyBorder="1"/>
    <xf numFmtId="10" fontId="7" fillId="0" borderId="0" xfId="3" applyNumberFormat="1" applyFont="1" applyFill="1"/>
    <xf numFmtId="168" fontId="7" fillId="0" borderId="9" xfId="1" applyNumberFormat="1" applyFont="1" applyFill="1" applyBorder="1" applyProtection="1"/>
    <xf numFmtId="168" fontId="7" fillId="0" borderId="10" xfId="1" applyNumberFormat="1" applyFont="1" applyFill="1" applyBorder="1" applyProtection="1"/>
    <xf numFmtId="168" fontId="7" fillId="0" borderId="11" xfId="1" applyNumberFormat="1" applyFont="1" applyFill="1" applyBorder="1" applyProtection="1"/>
    <xf numFmtId="168" fontId="7" fillId="2" borderId="9" xfId="1" applyNumberFormat="1" applyFont="1" applyFill="1" applyBorder="1" applyProtection="1"/>
    <xf numFmtId="9" fontId="7" fillId="2" borderId="12" xfId="3" applyFont="1" applyFill="1" applyBorder="1" applyProtection="1"/>
    <xf numFmtId="168" fontId="7" fillId="0" borderId="13" xfId="1" applyNumberFormat="1" applyFont="1" applyFill="1" applyBorder="1" applyProtection="1"/>
    <xf numFmtId="0" fontId="7" fillId="0" borderId="8" xfId="4" applyFont="1" applyBorder="1"/>
    <xf numFmtId="164" fontId="7" fillId="0" borderId="14" xfId="2" applyNumberFormat="1" applyFont="1" applyFill="1" applyBorder="1" applyProtection="1"/>
    <xf numFmtId="164" fontId="7" fillId="0" borderId="15" xfId="2" applyNumberFormat="1" applyFont="1" applyFill="1" applyBorder="1" applyProtection="1"/>
    <xf numFmtId="164" fontId="7" fillId="0" borderId="16" xfId="2" applyNumberFormat="1" applyFont="1" applyFill="1" applyBorder="1" applyProtection="1"/>
    <xf numFmtId="164" fontId="7" fillId="2" borderId="14" xfId="2" applyNumberFormat="1" applyFont="1" applyFill="1" applyBorder="1" applyProtection="1"/>
    <xf numFmtId="9" fontId="7" fillId="2" borderId="17" xfId="3" applyFont="1" applyFill="1" applyBorder="1" applyProtection="1"/>
    <xf numFmtId="164" fontId="7" fillId="0" borderId="18" xfId="2" applyNumberFormat="1" applyFont="1" applyFill="1" applyBorder="1" applyProtection="1"/>
    <xf numFmtId="0" fontId="0" fillId="0" borderId="5" xfId="0" applyBorder="1"/>
    <xf numFmtId="165" fontId="7" fillId="0" borderId="14" xfId="3" applyNumberFormat="1" applyFont="1" applyFill="1" applyBorder="1" applyProtection="1"/>
    <xf numFmtId="165" fontId="7" fillId="0" borderId="15" xfId="3" applyNumberFormat="1" applyFont="1" applyFill="1" applyBorder="1" applyProtection="1"/>
    <xf numFmtId="165" fontId="7" fillId="0" borderId="16" xfId="3" applyNumberFormat="1" applyFont="1" applyFill="1" applyBorder="1" applyProtection="1"/>
    <xf numFmtId="165" fontId="7" fillId="2" borderId="14" xfId="3" applyNumberFormat="1" applyFont="1" applyFill="1" applyBorder="1" applyProtection="1"/>
    <xf numFmtId="165" fontId="7" fillId="2" borderId="17" xfId="3" applyNumberFormat="1" applyFont="1" applyFill="1" applyBorder="1" applyProtection="1"/>
    <xf numFmtId="165" fontId="7" fillId="0" borderId="18" xfId="3" applyNumberFormat="1" applyFont="1" applyFill="1" applyBorder="1" applyProtection="1"/>
    <xf numFmtId="170" fontId="7" fillId="0" borderId="0" xfId="4" applyNumberFormat="1" applyFont="1"/>
    <xf numFmtId="43" fontId="7" fillId="0" borderId="0" xfId="4" applyNumberFormat="1" applyFont="1"/>
    <xf numFmtId="164" fontId="7" fillId="0" borderId="0" xfId="2" applyNumberFormat="1" applyFont="1" applyFill="1"/>
    <xf numFmtId="164" fontId="7" fillId="0" borderId="4" xfId="2" applyNumberFormat="1" applyFont="1" applyFill="1" applyBorder="1"/>
    <xf numFmtId="164" fontId="7" fillId="0" borderId="0" xfId="2" applyNumberFormat="1" applyFont="1" applyFill="1" applyBorder="1"/>
    <xf numFmtId="164" fontId="7" fillId="0" borderId="5" xfId="2" applyNumberFormat="1" applyFont="1" applyFill="1" applyBorder="1"/>
    <xf numFmtId="164" fontId="7" fillId="0" borderId="8" xfId="2" applyNumberFormat="1" applyFont="1" applyFill="1" applyBorder="1"/>
    <xf numFmtId="168" fontId="7" fillId="0" borderId="0" xfId="1" applyNumberFormat="1" applyFont="1" applyFill="1"/>
    <xf numFmtId="168" fontId="7" fillId="0" borderId="4" xfId="1" applyNumberFormat="1" applyFont="1" applyFill="1" applyBorder="1"/>
    <xf numFmtId="168" fontId="7" fillId="0" borderId="0" xfId="1" applyNumberFormat="1" applyFont="1" applyFill="1" applyBorder="1"/>
    <xf numFmtId="168" fontId="7" fillId="0" borderId="5" xfId="1" applyNumberFormat="1" applyFont="1" applyFill="1" applyBorder="1"/>
    <xf numFmtId="168" fontId="7" fillId="0" borderId="8" xfId="1" applyNumberFormat="1" applyFont="1" applyFill="1" applyBorder="1"/>
    <xf numFmtId="168" fontId="7" fillId="0" borderId="9" xfId="1" applyNumberFormat="1" applyFont="1" applyFill="1" applyBorder="1"/>
    <xf numFmtId="9" fontId="7" fillId="0" borderId="9" xfId="3" applyFont="1" applyFill="1" applyBorder="1"/>
    <xf numFmtId="168" fontId="7" fillId="0" borderId="11" xfId="1" applyNumberFormat="1" applyFont="1" applyFill="1" applyBorder="1"/>
    <xf numFmtId="168" fontId="7" fillId="0" borderId="13" xfId="1" applyNumberFormat="1" applyFont="1" applyFill="1" applyBorder="1"/>
    <xf numFmtId="168" fontId="7" fillId="2" borderId="0" xfId="1" applyNumberFormat="1" applyFont="1" applyFill="1" applyBorder="1"/>
    <xf numFmtId="168" fontId="7" fillId="2" borderId="6" xfId="1" applyNumberFormat="1" applyFont="1" applyFill="1" applyBorder="1"/>
    <xf numFmtId="168" fontId="6" fillId="0" borderId="9" xfId="1" applyNumberFormat="1" applyFont="1" applyFill="1" applyBorder="1" applyProtection="1"/>
    <xf numFmtId="168" fontId="6" fillId="0" borderId="9" xfId="1" applyNumberFormat="1" applyFont="1" applyFill="1" applyBorder="1"/>
    <xf numFmtId="9" fontId="6" fillId="0" borderId="9" xfId="3" applyFont="1" applyFill="1" applyBorder="1"/>
    <xf numFmtId="168" fontId="6" fillId="0" borderId="11" xfId="1" applyNumberFormat="1" applyFont="1" applyFill="1" applyBorder="1"/>
    <xf numFmtId="168" fontId="6" fillId="2" borderId="9" xfId="1" applyNumberFormat="1" applyFont="1" applyFill="1" applyBorder="1"/>
    <xf numFmtId="9" fontId="6" fillId="2" borderId="12" xfId="3" applyFont="1" applyFill="1" applyBorder="1" applyProtection="1"/>
    <xf numFmtId="168" fontId="6" fillId="0" borderId="13" xfId="1" applyNumberFormat="1" applyFont="1" applyFill="1" applyBorder="1"/>
    <xf numFmtId="0" fontId="6" fillId="0" borderId="0" xfId="4" applyFont="1" applyAlignment="1">
      <alignment wrapText="1"/>
    </xf>
    <xf numFmtId="168" fontId="7" fillId="3" borderId="0" xfId="1" applyNumberFormat="1" applyFont="1" applyFill="1" applyBorder="1"/>
    <xf numFmtId="9" fontId="7" fillId="3" borderId="0" xfId="3" applyFont="1" applyFill="1" applyBorder="1"/>
    <xf numFmtId="171" fontId="7" fillId="0" borderId="0" xfId="1" applyNumberFormat="1" applyFont="1" applyFill="1" applyProtection="1"/>
    <xf numFmtId="9" fontId="7" fillId="0" borderId="0" xfId="3" applyFont="1" applyFill="1" applyProtection="1"/>
    <xf numFmtId="9" fontId="7" fillId="0" borderId="0" xfId="3" applyFont="1" applyFill="1" applyBorder="1" applyProtection="1"/>
    <xf numFmtId="9" fontId="7" fillId="0" borderId="5" xfId="3" applyFont="1" applyFill="1" applyBorder="1" applyProtection="1"/>
    <xf numFmtId="9" fontId="7" fillId="2" borderId="0" xfId="3" applyFont="1" applyFill="1" applyBorder="1" applyProtection="1"/>
    <xf numFmtId="9" fontId="7" fillId="0" borderId="8" xfId="3" applyFont="1" applyFill="1" applyBorder="1" applyProtection="1"/>
    <xf numFmtId="171" fontId="7" fillId="0" borderId="0" xfId="1" applyNumberFormat="1" applyFont="1" applyFill="1"/>
    <xf numFmtId="171" fontId="7" fillId="0" borderId="5" xfId="1" applyNumberFormat="1" applyFont="1" applyFill="1" applyBorder="1"/>
    <xf numFmtId="171" fontId="7" fillId="0" borderId="0" xfId="1" applyNumberFormat="1" applyFont="1" applyFill="1" applyBorder="1"/>
    <xf numFmtId="171" fontId="7" fillId="0" borderId="0" xfId="4" applyNumberFormat="1" applyFont="1"/>
    <xf numFmtId="171" fontId="7" fillId="0" borderId="9" xfId="1" applyNumberFormat="1" applyFont="1" applyFill="1" applyBorder="1"/>
    <xf numFmtId="171" fontId="7" fillId="0" borderId="11" xfId="1" applyNumberFormat="1" applyFont="1" applyFill="1" applyBorder="1"/>
    <xf numFmtId="0" fontId="17" fillId="0" borderId="0" xfId="4" applyFont="1"/>
    <xf numFmtId="166" fontId="7" fillId="0" borderId="0" xfId="4" applyNumberFormat="1" applyFont="1"/>
    <xf numFmtId="0" fontId="7" fillId="3" borderId="0" xfId="4" applyFont="1" applyFill="1"/>
    <xf numFmtId="0" fontId="7" fillId="0" borderId="0" xfId="4" applyFont="1" applyAlignment="1">
      <alignment horizontal="left"/>
    </xf>
    <xf numFmtId="0" fontId="18" fillId="0" borderId="0" xfId="4" applyFont="1"/>
    <xf numFmtId="37" fontId="7" fillId="0" borderId="0" xfId="4" applyNumberFormat="1" applyFont="1"/>
    <xf numFmtId="0" fontId="18" fillId="3" borderId="0" xfId="4" applyFont="1" applyFill="1"/>
    <xf numFmtId="9" fontId="18" fillId="3" borderId="0" xfId="3" applyFont="1" applyFill="1" applyBorder="1"/>
    <xf numFmtId="0" fontId="18" fillId="0" borderId="5" xfId="4" applyFont="1" applyBorder="1"/>
    <xf numFmtId="0" fontId="18" fillId="2" borderId="0" xfId="4" applyFont="1" applyFill="1"/>
    <xf numFmtId="0" fontId="18" fillId="2" borderId="6" xfId="4" applyFont="1" applyFill="1" applyBorder="1"/>
    <xf numFmtId="0" fontId="18" fillId="0" borderId="8" xfId="4" applyFont="1" applyBorder="1"/>
    <xf numFmtId="37" fontId="6" fillId="0" borderId="0" xfId="4" applyNumberFormat="1" applyFont="1"/>
    <xf numFmtId="37" fontId="7" fillId="3" borderId="0" xfId="4" applyNumberFormat="1" applyFont="1" applyFill="1"/>
    <xf numFmtId="37" fontId="7" fillId="0" borderId="5" xfId="4" applyNumberFormat="1" applyFont="1" applyBorder="1"/>
    <xf numFmtId="37" fontId="7" fillId="2" borderId="0" xfId="4" applyNumberFormat="1" applyFont="1" applyFill="1"/>
    <xf numFmtId="37" fontId="7" fillId="2" borderId="6" xfId="4" applyNumberFormat="1" applyFont="1" applyFill="1" applyBorder="1"/>
    <xf numFmtId="37" fontId="7" fillId="0" borderId="8" xfId="4" applyNumberFormat="1" applyFont="1" applyBorder="1"/>
    <xf numFmtId="37" fontId="6" fillId="0" borderId="19" xfId="4" applyNumberFormat="1" applyFont="1" applyBorder="1"/>
    <xf numFmtId="37" fontId="6" fillId="3" borderId="19" xfId="4" applyNumberFormat="1" applyFont="1" applyFill="1" applyBorder="1"/>
    <xf numFmtId="9" fontId="6" fillId="3" borderId="19" xfId="3" applyFont="1" applyFill="1" applyBorder="1"/>
    <xf numFmtId="37" fontId="6" fillId="0" borderId="20" xfId="4" applyNumberFormat="1" applyFont="1" applyBorder="1"/>
    <xf numFmtId="37" fontId="6" fillId="2" borderId="19" xfId="4" applyNumberFormat="1" applyFont="1" applyFill="1" applyBorder="1"/>
    <xf numFmtId="37" fontId="6" fillId="2" borderId="21" xfId="4" applyNumberFormat="1" applyFont="1" applyFill="1" applyBorder="1"/>
    <xf numFmtId="37" fontId="6" fillId="0" borderId="22" xfId="4" applyNumberFormat="1" applyFont="1" applyBorder="1"/>
    <xf numFmtId="38" fontId="7" fillId="0" borderId="0" xfId="4" applyNumberFormat="1" applyFont="1"/>
    <xf numFmtId="38" fontId="6" fillId="0" borderId="0" xfId="4" applyNumberFormat="1" applyFont="1"/>
    <xf numFmtId="38" fontId="7" fillId="3" borderId="0" xfId="4" applyNumberFormat="1" applyFont="1" applyFill="1"/>
    <xf numFmtId="38" fontId="7" fillId="0" borderId="5" xfId="4" applyNumberFormat="1" applyFont="1" applyBorder="1"/>
    <xf numFmtId="38" fontId="7" fillId="2" borderId="0" xfId="4" applyNumberFormat="1" applyFont="1" applyFill="1"/>
    <xf numFmtId="38" fontId="7" fillId="2" borderId="6" xfId="4" applyNumberFormat="1" applyFont="1" applyFill="1" applyBorder="1"/>
    <xf numFmtId="38" fontId="7" fillId="0" borderId="8" xfId="4" applyNumberFormat="1" applyFont="1" applyBorder="1"/>
    <xf numFmtId="10" fontId="7" fillId="0" borderId="0" xfId="4" applyNumberFormat="1" applyFont="1"/>
    <xf numFmtId="10" fontId="6" fillId="0" borderId="0" xfId="4" applyNumberFormat="1" applyFont="1"/>
    <xf numFmtId="10" fontId="7" fillId="3" borderId="0" xfId="4" applyNumberFormat="1" applyFont="1" applyFill="1"/>
    <xf numFmtId="10" fontId="7" fillId="0" borderId="5" xfId="4" applyNumberFormat="1" applyFont="1" applyBorder="1"/>
    <xf numFmtId="10" fontId="7" fillId="2" borderId="0" xfId="4" applyNumberFormat="1" applyFont="1" applyFill="1"/>
    <xf numFmtId="10" fontId="7" fillId="2" borderId="6" xfId="4" applyNumberFormat="1" applyFont="1" applyFill="1" applyBorder="1"/>
    <xf numFmtId="10" fontId="7" fillId="0" borderId="8" xfId="4" applyNumberFormat="1" applyFont="1" applyBorder="1"/>
    <xf numFmtId="164" fontId="6" fillId="0" borderId="14" xfId="2" applyNumberFormat="1" applyFont="1" applyFill="1" applyBorder="1"/>
    <xf numFmtId="9" fontId="6" fillId="0" borderId="14" xfId="3" applyFont="1" applyFill="1" applyBorder="1"/>
    <xf numFmtId="164" fontId="6" fillId="0" borderId="16" xfId="2" applyNumberFormat="1" applyFont="1" applyFill="1" applyBorder="1"/>
    <xf numFmtId="164" fontId="6" fillId="2" borderId="14" xfId="2" applyNumberFormat="1" applyFont="1" applyFill="1" applyBorder="1"/>
    <xf numFmtId="9" fontId="6" fillId="2" borderId="17" xfId="3" applyFont="1" applyFill="1" applyBorder="1" applyProtection="1"/>
    <xf numFmtId="164" fontId="6" fillId="0" borderId="18" xfId="2" applyNumberFormat="1" applyFont="1" applyFill="1" applyBorder="1"/>
    <xf numFmtId="38" fontId="6" fillId="0" borderId="0" xfId="5" applyNumberFormat="1" applyFont="1"/>
    <xf numFmtId="164" fontId="7" fillId="0" borderId="0" xfId="4" applyNumberFormat="1" applyFont="1"/>
    <xf numFmtId="0" fontId="7" fillId="2" borderId="0" xfId="4" applyFont="1" applyFill="1" applyAlignment="1">
      <alignment horizontal="center" wrapText="1"/>
    </xf>
    <xf numFmtId="0" fontId="7" fillId="0" borderId="8" xfId="4" applyFont="1" applyBorder="1" applyAlignment="1">
      <alignment horizontal="center" wrapText="1"/>
    </xf>
    <xf numFmtId="44" fontId="7" fillId="0" borderId="0" xfId="4" applyNumberFormat="1" applyFont="1"/>
    <xf numFmtId="0" fontId="6" fillId="0" borderId="0" xfId="4" applyFont="1" applyAlignment="1">
      <alignment horizontal="left" indent="2"/>
    </xf>
    <xf numFmtId="0" fontId="19" fillId="0" borderId="0" xfId="4" applyFont="1"/>
    <xf numFmtId="37" fontId="7" fillId="0" borderId="0" xfId="2" applyNumberFormat="1" applyFont="1" applyFill="1" applyBorder="1"/>
    <xf numFmtId="37" fontId="7" fillId="0" borderId="5" xfId="2" applyNumberFormat="1" applyFont="1" applyFill="1" applyBorder="1"/>
    <xf numFmtId="37" fontId="7" fillId="0" borderId="8" xfId="2" applyNumberFormat="1" applyFont="1" applyFill="1" applyBorder="1"/>
    <xf numFmtId="168" fontId="7" fillId="0" borderId="0" xfId="6" applyNumberFormat="1" applyFont="1" applyFill="1" applyBorder="1"/>
    <xf numFmtId="168" fontId="7" fillId="0" borderId="0" xfId="6" applyNumberFormat="1" applyFont="1" applyFill="1"/>
    <xf numFmtId="168" fontId="20" fillId="0" borderId="0" xfId="1" applyNumberFormat="1" applyFont="1" applyFill="1"/>
    <xf numFmtId="168" fontId="20" fillId="0" borderId="0" xfId="1" applyNumberFormat="1" applyFont="1" applyFill="1" applyBorder="1"/>
    <xf numFmtId="168" fontId="20" fillId="0" borderId="5" xfId="1" applyNumberFormat="1" applyFont="1" applyFill="1" applyBorder="1"/>
    <xf numFmtId="168" fontId="7" fillId="3" borderId="9" xfId="1" applyNumberFormat="1" applyFont="1" applyFill="1" applyBorder="1"/>
    <xf numFmtId="168" fontId="7" fillId="2" borderId="9" xfId="1" applyNumberFormat="1" applyFont="1" applyFill="1" applyBorder="1"/>
    <xf numFmtId="168" fontId="20" fillId="0" borderId="9" xfId="1" applyNumberFormat="1" applyFont="1" applyFill="1" applyBorder="1"/>
    <xf numFmtId="164" fontId="7" fillId="0" borderId="14" xfId="2" applyNumberFormat="1" applyFont="1" applyFill="1" applyBorder="1"/>
    <xf numFmtId="164" fontId="7" fillId="0" borderId="16" xfId="2" applyNumberFormat="1" applyFont="1" applyFill="1" applyBorder="1"/>
    <xf numFmtId="164" fontId="7" fillId="2" borderId="14" xfId="2" applyNumberFormat="1" applyFont="1" applyFill="1" applyBorder="1"/>
    <xf numFmtId="164" fontId="7" fillId="0" borderId="18" xfId="2" applyNumberFormat="1" applyFont="1" applyFill="1" applyBorder="1"/>
    <xf numFmtId="164" fontId="7" fillId="0" borderId="14" xfId="4" applyNumberFormat="1" applyFont="1" applyBorder="1"/>
    <xf numFmtId="164" fontId="21" fillId="0" borderId="14" xfId="4" applyNumberFormat="1" applyFont="1" applyBorder="1"/>
    <xf numFmtId="164" fontId="7" fillId="0" borderId="16" xfId="4" applyNumberFormat="1" applyFont="1" applyBorder="1"/>
    <xf numFmtId="164" fontId="7" fillId="2" borderId="14" xfId="4" applyNumberFormat="1" applyFont="1" applyFill="1" applyBorder="1"/>
    <xf numFmtId="164" fontId="7" fillId="0" borderId="18" xfId="4" applyNumberFormat="1" applyFont="1" applyBorder="1"/>
    <xf numFmtId="6" fontId="7" fillId="0" borderId="16" xfId="4" applyNumberFormat="1" applyFont="1" applyBorder="1"/>
    <xf numFmtId="164" fontId="7" fillId="0" borderId="5" xfId="4" applyNumberFormat="1" applyFont="1" applyBorder="1"/>
    <xf numFmtId="164" fontId="7" fillId="2" borderId="0" xfId="4" applyNumberFormat="1" applyFont="1" applyFill="1"/>
    <xf numFmtId="164" fontId="7" fillId="0" borderId="8" xfId="4" applyNumberFormat="1" applyFont="1" applyBorder="1"/>
    <xf numFmtId="164" fontId="7" fillId="0" borderId="23" xfId="4" applyNumberFormat="1" applyFont="1" applyBorder="1"/>
    <xf numFmtId="164" fontId="7" fillId="0" borderId="24" xfId="4" applyNumberFormat="1" applyFont="1" applyBorder="1"/>
    <xf numFmtId="164" fontId="7" fillId="2" borderId="24" xfId="4" applyNumberFormat="1" applyFont="1" applyFill="1" applyBorder="1"/>
    <xf numFmtId="9" fontId="7" fillId="2" borderId="25" xfId="3" applyFont="1" applyFill="1" applyBorder="1" applyProtection="1"/>
    <xf numFmtId="164" fontId="7" fillId="0" borderId="26" xfId="4" applyNumberFormat="1" applyFont="1" applyBorder="1"/>
    <xf numFmtId="164" fontId="7" fillId="0" borderId="27" xfId="4" applyNumberFormat="1" applyFont="1" applyBorder="1"/>
    <xf numFmtId="164" fontId="7" fillId="0" borderId="28" xfId="4" applyNumberFormat="1" applyFont="1" applyBorder="1"/>
    <xf numFmtId="164" fontId="7" fillId="2" borderId="28" xfId="4" applyNumberFormat="1" applyFont="1" applyFill="1" applyBorder="1"/>
    <xf numFmtId="0" fontId="0" fillId="0" borderId="6" xfId="0" applyBorder="1"/>
    <xf numFmtId="0" fontId="7" fillId="0" borderId="0" xfId="0" applyFont="1"/>
    <xf numFmtId="0" fontId="1" fillId="0" borderId="0" xfId="0" applyFont="1"/>
    <xf numFmtId="164" fontId="7" fillId="0" borderId="31" xfId="2" applyNumberFormat="1" applyFont="1" applyFill="1" applyBorder="1"/>
    <xf numFmtId="164" fontId="7" fillId="0" borderId="32" xfId="2" applyNumberFormat="1" applyFont="1" applyFill="1" applyBorder="1"/>
    <xf numFmtId="0" fontId="0" fillId="0" borderId="32" xfId="0" applyBorder="1"/>
    <xf numFmtId="0" fontId="0" fillId="0" borderId="33" xfId="0" applyBorder="1"/>
    <xf numFmtId="164" fontId="7" fillId="0" borderId="32" xfId="4" applyNumberFormat="1" applyFont="1" applyBorder="1"/>
    <xf numFmtId="168" fontId="1" fillId="0" borderId="0" xfId="1" applyNumberFormat="1" applyFont="1" applyBorder="1"/>
    <xf numFmtId="164" fontId="7" fillId="0" borderId="0" xfId="4" applyNumberFormat="1" applyFont="1" applyAlignment="1">
      <alignment horizontal="center" wrapText="1"/>
    </xf>
    <xf numFmtId="164" fontId="6" fillId="0" borderId="24" xfId="4" applyNumberFormat="1" applyFont="1" applyBorder="1" applyAlignment="1">
      <alignment horizontal="center" wrapText="1"/>
    </xf>
    <xf numFmtId="0" fontId="6" fillId="0" borderId="24" xfId="4" applyFont="1" applyBorder="1" applyAlignment="1">
      <alignment horizontal="center" wrapText="1"/>
    </xf>
    <xf numFmtId="0" fontId="6" fillId="0" borderId="30" xfId="4" applyFont="1" applyBorder="1" applyAlignment="1">
      <alignment horizontal="center" wrapText="1"/>
    </xf>
    <xf numFmtId="0" fontId="1" fillId="3" borderId="0" xfId="0" applyFont="1" applyFill="1"/>
    <xf numFmtId="0" fontId="1" fillId="0" borderId="4" xfId="0" applyFont="1" applyBorder="1"/>
    <xf numFmtId="0" fontId="1" fillId="2" borderId="0" xfId="0" applyFont="1" applyFill="1"/>
    <xf numFmtId="0" fontId="1" fillId="0" borderId="8" xfId="0" applyFont="1" applyBorder="1"/>
    <xf numFmtId="9" fontId="7" fillId="0" borderId="0" xfId="4" applyNumberFormat="1" applyFont="1"/>
    <xf numFmtId="164" fontId="7" fillId="0" borderId="15" xfId="2" applyNumberFormat="1" applyFont="1" applyFill="1" applyBorder="1"/>
    <xf numFmtId="9" fontId="7" fillId="2" borderId="14" xfId="3" applyFont="1" applyFill="1" applyBorder="1"/>
    <xf numFmtId="168" fontId="7" fillId="0" borderId="10" xfId="1" applyNumberFormat="1" applyFont="1" applyFill="1" applyBorder="1"/>
    <xf numFmtId="9" fontId="7" fillId="2" borderId="9" xfId="3" applyFont="1" applyFill="1" applyBorder="1" applyProtection="1"/>
    <xf numFmtId="43" fontId="1" fillId="0" borderId="0" xfId="1" applyFont="1" applyBorder="1"/>
    <xf numFmtId="164" fontId="7" fillId="3" borderId="0" xfId="2" applyNumberFormat="1" applyFont="1" applyFill="1" applyBorder="1"/>
    <xf numFmtId="43" fontId="1" fillId="0" borderId="0" xfId="0" applyNumberFormat="1" applyFont="1"/>
    <xf numFmtId="164" fontId="1" fillId="0" borderId="0" xfId="0" applyNumberFormat="1" applyFont="1"/>
    <xf numFmtId="165" fontId="1" fillId="0" borderId="0" xfId="3" applyNumberFormat="1" applyFont="1"/>
    <xf numFmtId="168" fontId="1" fillId="0" borderId="0" xfId="0" applyNumberFormat="1" applyFont="1"/>
    <xf numFmtId="165" fontId="22" fillId="0" borderId="0" xfId="3" applyNumberFormat="1" applyFont="1" applyFill="1"/>
    <xf numFmtId="0" fontId="6" fillId="0" borderId="0" xfId="4" applyFont="1" applyAlignment="1">
      <alignment horizontal="left" indent="1"/>
    </xf>
    <xf numFmtId="168" fontId="1" fillId="0" borderId="0" xfId="1" applyNumberFormat="1" applyFont="1"/>
    <xf numFmtId="0" fontId="7" fillId="0" borderId="6" xfId="4" applyFont="1" applyBorder="1" applyAlignment="1">
      <alignment horizontal="center" wrapText="1"/>
    </xf>
    <xf numFmtId="169" fontId="3" fillId="0" borderId="6" xfId="0" applyNumberFormat="1" applyFont="1" applyBorder="1"/>
    <xf numFmtId="9" fontId="7" fillId="0" borderId="6" xfId="3" applyFont="1" applyFill="1" applyBorder="1"/>
    <xf numFmtId="168" fontId="7" fillId="0" borderId="6" xfId="1" applyNumberFormat="1" applyFont="1" applyFill="1" applyBorder="1" applyProtection="1"/>
    <xf numFmtId="168" fontId="7" fillId="0" borderId="6" xfId="4" applyNumberFormat="1" applyFont="1" applyBorder="1"/>
    <xf numFmtId="168" fontId="7" fillId="0" borderId="12" xfId="1" applyNumberFormat="1" applyFont="1" applyFill="1" applyBorder="1" applyProtection="1"/>
    <xf numFmtId="0" fontId="7" fillId="0" borderId="6" xfId="4" applyFont="1" applyBorder="1"/>
    <xf numFmtId="164" fontId="7" fillId="0" borderId="17" xfId="2" applyNumberFormat="1" applyFont="1" applyFill="1" applyBorder="1" applyProtection="1"/>
    <xf numFmtId="165" fontId="7" fillId="0" borderId="17" xfId="3" applyNumberFormat="1" applyFont="1" applyFill="1" applyBorder="1" applyProtection="1"/>
    <xf numFmtId="168" fontId="7" fillId="0" borderId="6" xfId="1" applyNumberFormat="1" applyFont="1" applyFill="1" applyBorder="1"/>
    <xf numFmtId="168" fontId="7" fillId="0" borderId="12" xfId="1" applyNumberFormat="1" applyFont="1" applyFill="1" applyBorder="1"/>
    <xf numFmtId="168" fontId="6" fillId="0" borderId="12" xfId="1" applyNumberFormat="1" applyFont="1" applyFill="1" applyBorder="1"/>
    <xf numFmtId="168" fontId="7" fillId="3" borderId="6" xfId="1" applyNumberFormat="1" applyFont="1" applyFill="1" applyBorder="1"/>
    <xf numFmtId="171" fontId="7" fillId="0" borderId="6" xfId="1" applyNumberFormat="1" applyFont="1" applyFill="1" applyBorder="1"/>
    <xf numFmtId="0" fontId="18" fillId="0" borderId="6" xfId="4" applyFont="1" applyBorder="1"/>
    <xf numFmtId="37" fontId="7" fillId="0" borderId="6" xfId="4" applyNumberFormat="1" applyFont="1" applyBorder="1"/>
    <xf numFmtId="37" fontId="6" fillId="0" borderId="21" xfId="4" applyNumberFormat="1" applyFont="1" applyBorder="1"/>
    <xf numFmtId="38" fontId="7" fillId="0" borderId="6" xfId="4" applyNumberFormat="1" applyFont="1" applyBorder="1"/>
    <xf numFmtId="10" fontId="7" fillId="0" borderId="6" xfId="4" applyNumberFormat="1" applyFont="1" applyBorder="1"/>
    <xf numFmtId="164" fontId="6" fillId="0" borderId="17" xfId="2" applyNumberFormat="1" applyFont="1" applyFill="1" applyBorder="1"/>
    <xf numFmtId="168" fontId="7" fillId="0" borderId="6" xfId="6" applyNumberFormat="1" applyFont="1" applyFill="1" applyBorder="1"/>
    <xf numFmtId="168" fontId="20" fillId="0" borderId="6" xfId="1" applyNumberFormat="1" applyFont="1" applyFill="1" applyBorder="1"/>
    <xf numFmtId="168" fontId="20" fillId="0" borderId="12" xfId="1" applyNumberFormat="1" applyFont="1" applyFill="1" applyBorder="1"/>
    <xf numFmtId="164" fontId="7" fillId="0" borderId="17" xfId="2" applyNumberFormat="1" applyFont="1" applyFill="1" applyBorder="1"/>
    <xf numFmtId="164" fontId="7" fillId="0" borderId="6" xfId="4" applyNumberFormat="1" applyFont="1" applyBorder="1"/>
    <xf numFmtId="164" fontId="7" fillId="0" borderId="29" xfId="4" applyNumberFormat="1" applyFont="1" applyBorder="1"/>
    <xf numFmtId="9" fontId="7" fillId="2" borderId="14" xfId="3" applyFont="1" applyFill="1" applyBorder="1" applyProtection="1"/>
    <xf numFmtId="9" fontId="6" fillId="2" borderId="9" xfId="3" applyFont="1" applyFill="1" applyBorder="1" applyProtection="1"/>
    <xf numFmtId="9" fontId="6" fillId="2" borderId="14" xfId="3" applyFont="1" applyFill="1" applyBorder="1" applyProtection="1"/>
    <xf numFmtId="9" fontId="7" fillId="2" borderId="28" xfId="3" applyFont="1" applyFill="1" applyBorder="1" applyProtection="1"/>
    <xf numFmtId="43" fontId="13" fillId="0" borderId="1" xfId="1" applyFont="1" applyFill="1" applyBorder="1" applyAlignment="1"/>
    <xf numFmtId="43" fontId="11" fillId="0" borderId="0" xfId="1" applyFont="1" applyFill="1" applyBorder="1" applyAlignment="1">
      <alignment horizontal="center"/>
    </xf>
    <xf numFmtId="0" fontId="7" fillId="3" borderId="0" xfId="4" applyFont="1" applyFill="1" applyAlignment="1">
      <alignment horizontal="center" wrapText="1"/>
    </xf>
    <xf numFmtId="0" fontId="7" fillId="3" borderId="1" xfId="4" applyFont="1" applyFill="1" applyBorder="1" applyAlignment="1">
      <alignment horizontal="center" wrapText="1"/>
    </xf>
    <xf numFmtId="0" fontId="7" fillId="3" borderId="2" xfId="4" applyFont="1" applyFill="1" applyBorder="1" applyAlignment="1">
      <alignment horizontal="center" wrapText="1"/>
    </xf>
    <xf numFmtId="0" fontId="7" fillId="3" borderId="5" xfId="4" applyFont="1" applyFill="1" applyBorder="1" applyAlignment="1">
      <alignment horizontal="center" wrapText="1"/>
    </xf>
    <xf numFmtId="0" fontId="6" fillId="3" borderId="0" xfId="4" applyFont="1" applyFill="1" applyAlignment="1">
      <alignment horizontal="center" wrapText="1"/>
    </xf>
    <xf numFmtId="0" fontId="6" fillId="3" borderId="6" xfId="4" applyFont="1" applyFill="1" applyBorder="1" applyAlignment="1">
      <alignment horizontal="center" wrapText="1"/>
    </xf>
    <xf numFmtId="164" fontId="0" fillId="0" borderId="14" xfId="2" applyNumberFormat="1" applyFont="1" applyBorder="1"/>
    <xf numFmtId="164" fontId="0" fillId="0" borderId="0" xfId="2" applyNumberFormat="1" applyFont="1"/>
    <xf numFmtId="168" fontId="0" fillId="0" borderId="0" xfId="1" applyNumberFormat="1" applyFont="1"/>
    <xf numFmtId="168" fontId="0" fillId="0" borderId="9" xfId="1" applyNumberFormat="1" applyFont="1" applyBorder="1"/>
    <xf numFmtId="168" fontId="7" fillId="3" borderId="0" xfId="1" applyNumberFormat="1" applyFont="1" applyFill="1" applyBorder="1" applyProtection="1"/>
    <xf numFmtId="168" fontId="7" fillId="3" borderId="0" xfId="1" applyNumberFormat="1" applyFont="1" applyFill="1" applyProtection="1"/>
    <xf numFmtId="168" fontId="7" fillId="3" borderId="5" xfId="1" applyNumberFormat="1" applyFont="1" applyFill="1" applyBorder="1" applyProtection="1"/>
    <xf numFmtId="9" fontId="7" fillId="3" borderId="6" xfId="3" applyFont="1" applyFill="1" applyBorder="1" applyProtection="1"/>
    <xf numFmtId="168" fontId="7" fillId="3" borderId="8" xfId="1" applyNumberFormat="1" applyFont="1" applyFill="1" applyBorder="1" applyProtection="1"/>
    <xf numFmtId="9" fontId="7" fillId="3" borderId="0" xfId="3" applyFont="1" applyFill="1" applyBorder="1" applyProtection="1"/>
    <xf numFmtId="168" fontId="7" fillId="3" borderId="9" xfId="1" applyNumberFormat="1" applyFont="1" applyFill="1" applyBorder="1" applyProtection="1"/>
    <xf numFmtId="168" fontId="7" fillId="3" borderId="11" xfId="1" applyNumberFormat="1" applyFont="1" applyFill="1" applyBorder="1" applyProtection="1"/>
    <xf numFmtId="9" fontId="7" fillId="3" borderId="12" xfId="3" applyFont="1" applyFill="1" applyBorder="1" applyProtection="1"/>
    <xf numFmtId="168" fontId="7" fillId="3" borderId="13" xfId="1" applyNumberFormat="1" applyFont="1" applyFill="1" applyBorder="1" applyProtection="1"/>
    <xf numFmtId="168" fontId="24" fillId="0" borderId="0" xfId="6" applyNumberFormat="1" applyFont="1"/>
    <xf numFmtId="43" fontId="13" fillId="0" borderId="2" xfId="1" applyFont="1" applyFill="1" applyBorder="1" applyAlignment="1"/>
    <xf numFmtId="43" fontId="13" fillId="0" borderId="3" xfId="1" applyFont="1" applyFill="1" applyBorder="1" applyAlignment="1"/>
    <xf numFmtId="0" fontId="11" fillId="0" borderId="0" xfId="4" applyFont="1" applyAlignment="1">
      <alignment horizontal="right"/>
    </xf>
    <xf numFmtId="168" fontId="7" fillId="4" borderId="0" xfId="1" applyNumberFormat="1" applyFont="1" applyFill="1" applyBorder="1"/>
    <xf numFmtId="168" fontId="7" fillId="4" borderId="0" xfId="1" applyNumberFormat="1" applyFont="1" applyFill="1" applyBorder="1" applyProtection="1"/>
    <xf numFmtId="168" fontId="7" fillId="4" borderId="0" xfId="1" applyNumberFormat="1" applyFont="1" applyFill="1" applyProtection="1"/>
    <xf numFmtId="168" fontId="7" fillId="4" borderId="5" xfId="1" applyNumberFormat="1" applyFont="1" applyFill="1" applyBorder="1" applyProtection="1"/>
    <xf numFmtId="9" fontId="7" fillId="4" borderId="6" xfId="3" applyFont="1" applyFill="1" applyBorder="1" applyProtection="1"/>
    <xf numFmtId="168" fontId="7" fillId="4" borderId="8" xfId="1" applyNumberFormat="1" applyFont="1" applyFill="1" applyBorder="1" applyProtection="1"/>
    <xf numFmtId="9" fontId="7" fillId="4" borderId="0" xfId="3" applyFont="1" applyFill="1" applyBorder="1"/>
    <xf numFmtId="168" fontId="7" fillId="4" borderId="5" xfId="1" applyNumberFormat="1" applyFont="1" applyFill="1" applyBorder="1"/>
    <xf numFmtId="168" fontId="7" fillId="4" borderId="8" xfId="1" applyNumberFormat="1" applyFont="1" applyFill="1" applyBorder="1"/>
    <xf numFmtId="168" fontId="7" fillId="4" borderId="0" xfId="1" applyNumberFormat="1" applyFont="1" applyFill="1"/>
    <xf numFmtId="9" fontId="7" fillId="0" borderId="6" xfId="3" applyFont="1" applyFill="1" applyBorder="1" applyProtection="1"/>
    <xf numFmtId="0" fontId="26" fillId="0" borderId="0" xfId="0" applyFont="1"/>
    <xf numFmtId="0" fontId="0" fillId="0" borderId="0" xfId="0" applyAlignment="1">
      <alignment horizontal="center"/>
    </xf>
    <xf numFmtId="0" fontId="29" fillId="0" borderId="0" xfId="0" applyFont="1"/>
    <xf numFmtId="0" fontId="23" fillId="0" borderId="0" xfId="0" applyFont="1"/>
    <xf numFmtId="164" fontId="19" fillId="0" borderId="0" xfId="2" applyNumberFormat="1" applyFont="1" applyFill="1" applyBorder="1" applyProtection="1"/>
    <xf numFmtId="164" fontId="23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center"/>
    </xf>
    <xf numFmtId="164" fontId="32" fillId="0" borderId="34" xfId="2" applyNumberFormat="1" applyFont="1" applyBorder="1"/>
    <xf numFmtId="164" fontId="32" fillId="0" borderId="35" xfId="2" applyNumberFormat="1" applyFont="1" applyBorder="1"/>
    <xf numFmtId="164" fontId="32" fillId="0" borderId="36" xfId="2" applyNumberFormat="1" applyFont="1" applyBorder="1"/>
    <xf numFmtId="0" fontId="0" fillId="0" borderId="0" xfId="0" applyAlignment="1">
      <alignment horizontal="left" indent="1"/>
    </xf>
    <xf numFmtId="0" fontId="0" fillId="5" borderId="0" xfId="0" applyFill="1"/>
    <xf numFmtId="9" fontId="0" fillId="5" borderId="14" xfId="3" applyFont="1" applyFill="1" applyBorder="1"/>
    <xf numFmtId="9" fontId="0" fillId="0" borderId="0" xfId="0" applyNumberFormat="1"/>
    <xf numFmtId="0" fontId="0" fillId="6" borderId="0" xfId="0" applyFill="1"/>
    <xf numFmtId="9" fontId="7" fillId="0" borderId="17" xfId="3" applyFont="1" applyFill="1" applyBorder="1" applyProtection="1"/>
    <xf numFmtId="164" fontId="7" fillId="0" borderId="6" xfId="2" applyNumberFormat="1" applyFont="1" applyFill="1" applyBorder="1"/>
    <xf numFmtId="168" fontId="23" fillId="0" borderId="0" xfId="4" applyNumberFormat="1" applyFont="1"/>
    <xf numFmtId="168" fontId="23" fillId="0" borderId="9" xfId="4" applyNumberFormat="1" applyFont="1" applyBorder="1"/>
    <xf numFmtId="0" fontId="23" fillId="0" borderId="0" xfId="4" applyFont="1" applyAlignment="1">
      <alignment horizontal="left" indent="2"/>
    </xf>
    <xf numFmtId="0" fontId="23" fillId="0" borderId="0" xfId="4" applyFont="1" applyAlignment="1">
      <alignment horizontal="left"/>
    </xf>
    <xf numFmtId="0" fontId="36" fillId="0" borderId="0" xfId="4" applyFont="1" applyAlignment="1">
      <alignment horizontal="left" indent="2"/>
    </xf>
    <xf numFmtId="9" fontId="0" fillId="6" borderId="14" xfId="0" applyNumberFormat="1" applyFill="1" applyBorder="1"/>
    <xf numFmtId="9" fontId="38" fillId="5" borderId="14" xfId="3" applyFont="1" applyFill="1" applyBorder="1"/>
    <xf numFmtId="0" fontId="21" fillId="0" borderId="5" xfId="4" applyFont="1" applyBorder="1" applyAlignment="1">
      <alignment horizontal="center" wrapText="1"/>
    </xf>
    <xf numFmtId="169" fontId="38" fillId="0" borderId="5" xfId="0" applyNumberFormat="1" applyFont="1" applyBorder="1"/>
    <xf numFmtId="9" fontId="21" fillId="0" borderId="5" xfId="3" applyFont="1" applyFill="1" applyBorder="1"/>
    <xf numFmtId="164" fontId="21" fillId="0" borderId="5" xfId="2" applyNumberFormat="1" applyFont="1" applyFill="1" applyBorder="1" applyProtection="1"/>
    <xf numFmtId="168" fontId="21" fillId="0" borderId="5" xfId="1" applyNumberFormat="1" applyFont="1" applyFill="1" applyBorder="1" applyProtection="1"/>
    <xf numFmtId="168" fontId="21" fillId="0" borderId="5" xfId="4" applyNumberFormat="1" applyFont="1" applyBorder="1"/>
    <xf numFmtId="168" fontId="21" fillId="0" borderId="11" xfId="1" applyNumberFormat="1" applyFont="1" applyFill="1" applyBorder="1" applyProtection="1"/>
    <xf numFmtId="0" fontId="21" fillId="0" borderId="5" xfId="4" applyFont="1" applyBorder="1"/>
    <xf numFmtId="164" fontId="21" fillId="0" borderId="16" xfId="2" applyNumberFormat="1" applyFont="1" applyFill="1" applyBorder="1" applyProtection="1"/>
    <xf numFmtId="0" fontId="21" fillId="0" borderId="0" xfId="4" applyFont="1"/>
    <xf numFmtId="165" fontId="21" fillId="0" borderId="16" xfId="3" applyNumberFormat="1" applyFont="1" applyFill="1" applyBorder="1" applyProtection="1"/>
    <xf numFmtId="168" fontId="21" fillId="0" borderId="5" xfId="1" applyNumberFormat="1" applyFont="1" applyFill="1" applyBorder="1"/>
    <xf numFmtId="168" fontId="25" fillId="0" borderId="11" xfId="1" applyNumberFormat="1" applyFont="1" applyFill="1" applyBorder="1"/>
    <xf numFmtId="168" fontId="21" fillId="4" borderId="5" xfId="1" applyNumberFormat="1" applyFont="1" applyFill="1" applyBorder="1"/>
    <xf numFmtId="171" fontId="21" fillId="0" borderId="5" xfId="1" applyNumberFormat="1" applyFont="1" applyFill="1" applyBorder="1"/>
    <xf numFmtId="168" fontId="21" fillId="0" borderId="11" xfId="1" applyNumberFormat="1" applyFont="1" applyFill="1" applyBorder="1"/>
    <xf numFmtId="0" fontId="21" fillId="4" borderId="5" xfId="4" applyFont="1" applyFill="1" applyBorder="1"/>
    <xf numFmtId="0" fontId="39" fillId="4" borderId="5" xfId="4" applyFont="1" applyFill="1" applyBorder="1"/>
    <xf numFmtId="0" fontId="39" fillId="0" borderId="0" xfId="4" applyFont="1"/>
    <xf numFmtId="37" fontId="21" fillId="4" borderId="5" xfId="4" applyNumberFormat="1" applyFont="1" applyFill="1" applyBorder="1"/>
    <xf numFmtId="37" fontId="21" fillId="0" borderId="0" xfId="4" applyNumberFormat="1" applyFont="1"/>
    <xf numFmtId="37" fontId="25" fillId="4" borderId="20" xfId="4" applyNumberFormat="1" applyFont="1" applyFill="1" applyBorder="1"/>
    <xf numFmtId="37" fontId="25" fillId="0" borderId="19" xfId="4" applyNumberFormat="1" applyFont="1" applyBorder="1"/>
    <xf numFmtId="38" fontId="21" fillId="4" borderId="5" xfId="4" applyNumberFormat="1" applyFont="1" applyFill="1" applyBorder="1"/>
    <xf numFmtId="38" fontId="21" fillId="0" borderId="0" xfId="4" applyNumberFormat="1" applyFont="1"/>
    <xf numFmtId="10" fontId="21" fillId="4" borderId="5" xfId="4" applyNumberFormat="1" applyFont="1" applyFill="1" applyBorder="1"/>
    <xf numFmtId="10" fontId="21" fillId="0" borderId="0" xfId="4" applyNumberFormat="1" applyFont="1"/>
    <xf numFmtId="164" fontId="25" fillId="0" borderId="16" xfId="2" applyNumberFormat="1" applyFont="1" applyFill="1" applyBorder="1"/>
    <xf numFmtId="168" fontId="21" fillId="0" borderId="5" xfId="6" applyNumberFormat="1" applyFont="1" applyFill="1" applyBorder="1"/>
    <xf numFmtId="164" fontId="21" fillId="0" borderId="16" xfId="2" applyNumberFormat="1" applyFont="1" applyFill="1" applyBorder="1"/>
    <xf numFmtId="0" fontId="0" fillId="3" borderId="0" xfId="0" applyFill="1"/>
    <xf numFmtId="168" fontId="21" fillId="3" borderId="5" xfId="1" applyNumberFormat="1" applyFont="1" applyFill="1" applyBorder="1"/>
    <xf numFmtId="9" fontId="7" fillId="0" borderId="12" xfId="3" applyFont="1" applyFill="1" applyBorder="1" applyProtection="1"/>
    <xf numFmtId="164" fontId="0" fillId="0" borderId="0" xfId="2" applyNumberFormat="1" applyFont="1" applyBorder="1"/>
    <xf numFmtId="164" fontId="0" fillId="0" borderId="0" xfId="2" applyNumberFormat="1" applyFont="1" applyFill="1" applyBorder="1"/>
    <xf numFmtId="38" fontId="23" fillId="0" borderId="0" xfId="4" applyNumberFormat="1" applyFont="1"/>
    <xf numFmtId="169" fontId="38" fillId="0" borderId="0" xfId="0" applyNumberFormat="1" applyFont="1"/>
    <xf numFmtId="0" fontId="39" fillId="0" borderId="5" xfId="4" applyFont="1" applyBorder="1"/>
    <xf numFmtId="37" fontId="21" fillId="0" borderId="5" xfId="4" applyNumberFormat="1" applyFont="1" applyBorder="1"/>
    <xf numFmtId="37" fontId="25" fillId="0" borderId="20" xfId="4" applyNumberFormat="1" applyFont="1" applyBorder="1"/>
    <xf numFmtId="38" fontId="21" fillId="0" borderId="5" xfId="4" applyNumberFormat="1" applyFont="1" applyBorder="1"/>
    <xf numFmtId="10" fontId="21" fillId="0" borderId="5" xfId="4" applyNumberFormat="1" applyFont="1" applyBorder="1"/>
    <xf numFmtId="168" fontId="7" fillId="0" borderId="37" xfId="1" applyNumberFormat="1" applyFont="1" applyFill="1" applyBorder="1"/>
    <xf numFmtId="164" fontId="7" fillId="2" borderId="0" xfId="2" applyNumberFormat="1" applyFont="1" applyFill="1" applyBorder="1"/>
    <xf numFmtId="164" fontId="7" fillId="2" borderId="6" xfId="2" applyNumberFormat="1" applyFont="1" applyFill="1" applyBorder="1"/>
    <xf numFmtId="0" fontId="7" fillId="7" borderId="0" xfId="4" applyFont="1" applyFill="1"/>
    <xf numFmtId="0" fontId="6" fillId="7" borderId="0" xfId="4" applyFont="1" applyFill="1"/>
    <xf numFmtId="168" fontId="7" fillId="7" borderId="0" xfId="1" applyNumberFormat="1" applyFont="1" applyFill="1" applyProtection="1"/>
    <xf numFmtId="168" fontId="7" fillId="7" borderId="0" xfId="1" applyNumberFormat="1" applyFont="1" applyFill="1" applyBorder="1"/>
    <xf numFmtId="9" fontId="7" fillId="7" borderId="0" xfId="3" applyFont="1" applyFill="1" applyBorder="1"/>
    <xf numFmtId="168" fontId="7" fillId="7" borderId="0" xfId="1" applyNumberFormat="1" applyFont="1" applyFill="1"/>
    <xf numFmtId="168" fontId="21" fillId="7" borderId="5" xfId="1" applyNumberFormat="1" applyFont="1" applyFill="1" applyBorder="1"/>
    <xf numFmtId="168" fontId="7" fillId="7" borderId="6" xfId="1" applyNumberFormat="1" applyFont="1" applyFill="1" applyBorder="1"/>
    <xf numFmtId="0" fontId="11" fillId="7" borderId="0" xfId="4" applyFont="1" applyFill="1"/>
    <xf numFmtId="171" fontId="7" fillId="7" borderId="0" xfId="1" applyNumberFormat="1" applyFont="1" applyFill="1" applyProtection="1"/>
    <xf numFmtId="9" fontId="7" fillId="7" borderId="0" xfId="3" applyFont="1" applyFill="1" applyProtection="1"/>
    <xf numFmtId="0" fontId="0" fillId="7" borderId="0" xfId="0" applyFill="1"/>
    <xf numFmtId="171" fontId="7" fillId="7" borderId="0" xfId="1" applyNumberFormat="1" applyFont="1" applyFill="1" applyBorder="1"/>
    <xf numFmtId="168" fontId="7" fillId="7" borderId="5" xfId="1" applyNumberFormat="1" applyFont="1" applyFill="1" applyBorder="1" applyProtection="1"/>
    <xf numFmtId="168" fontId="7" fillId="7" borderId="0" xfId="1" applyNumberFormat="1" applyFont="1" applyFill="1" applyBorder="1" applyProtection="1"/>
    <xf numFmtId="9" fontId="7" fillId="7" borderId="6" xfId="3" applyFont="1" applyFill="1" applyBorder="1" applyProtection="1"/>
    <xf numFmtId="168" fontId="7" fillId="7" borderId="8" xfId="1" applyNumberFormat="1" applyFont="1" applyFill="1" applyBorder="1" applyProtection="1"/>
    <xf numFmtId="171" fontId="7" fillId="7" borderId="5" xfId="1" applyNumberFormat="1" applyFont="1" applyFill="1" applyBorder="1"/>
    <xf numFmtId="168" fontId="7" fillId="7" borderId="5" xfId="4" applyNumberFormat="1" applyFont="1" applyFill="1" applyBorder="1"/>
    <xf numFmtId="168" fontId="7" fillId="7" borderId="8" xfId="4" applyNumberFormat="1" applyFont="1" applyFill="1" applyBorder="1"/>
    <xf numFmtId="171" fontId="7" fillId="7" borderId="0" xfId="1" applyNumberFormat="1" applyFont="1" applyFill="1"/>
    <xf numFmtId="168" fontId="7" fillId="7" borderId="9" xfId="1" applyNumberFormat="1" applyFont="1" applyFill="1" applyBorder="1" applyProtection="1"/>
    <xf numFmtId="168" fontId="7" fillId="7" borderId="9" xfId="1" applyNumberFormat="1" applyFont="1" applyFill="1" applyBorder="1"/>
    <xf numFmtId="9" fontId="7" fillId="7" borderId="9" xfId="3" applyFont="1" applyFill="1" applyBorder="1"/>
    <xf numFmtId="168" fontId="7" fillId="7" borderId="11" xfId="1" applyNumberFormat="1" applyFont="1" applyFill="1" applyBorder="1" applyProtection="1"/>
    <xf numFmtId="9" fontId="7" fillId="7" borderId="12" xfId="3" applyFont="1" applyFill="1" applyBorder="1" applyProtection="1"/>
    <xf numFmtId="168" fontId="7" fillId="7" borderId="13" xfId="1" applyNumberFormat="1" applyFont="1" applyFill="1" applyBorder="1" applyProtection="1"/>
    <xf numFmtId="171" fontId="7" fillId="7" borderId="9" xfId="1" applyNumberFormat="1" applyFont="1" applyFill="1" applyBorder="1"/>
    <xf numFmtId="171" fontId="7" fillId="7" borderId="11" xfId="1" applyNumberFormat="1" applyFont="1" applyFill="1" applyBorder="1"/>
    <xf numFmtId="168" fontId="21" fillId="7" borderId="11" xfId="1" applyNumberFormat="1" applyFont="1" applyFill="1" applyBorder="1"/>
    <xf numFmtId="0" fontId="17" fillId="7" borderId="0" xfId="4" applyFont="1" applyFill="1"/>
    <xf numFmtId="168" fontId="7" fillId="7" borderId="5" xfId="1" applyNumberFormat="1" applyFont="1" applyFill="1" applyBorder="1"/>
    <xf numFmtId="168" fontId="7" fillId="7" borderId="8" xfId="1" applyNumberFormat="1" applyFont="1" applyFill="1" applyBorder="1"/>
    <xf numFmtId="168" fontId="6" fillId="7" borderId="9" xfId="1" applyNumberFormat="1" applyFont="1" applyFill="1" applyBorder="1" applyProtection="1"/>
    <xf numFmtId="168" fontId="6" fillId="7" borderId="9" xfId="1" applyNumberFormat="1" applyFont="1" applyFill="1" applyBorder="1"/>
    <xf numFmtId="164" fontId="6" fillId="7" borderId="14" xfId="2" applyNumberFormat="1" applyFont="1" applyFill="1" applyBorder="1"/>
    <xf numFmtId="164" fontId="6" fillId="7" borderId="16" xfId="2" applyNumberFormat="1" applyFont="1" applyFill="1" applyBorder="1"/>
    <xf numFmtId="164" fontId="6" fillId="7" borderId="17" xfId="2" applyNumberFormat="1" applyFont="1" applyFill="1" applyBorder="1" applyProtection="1"/>
    <xf numFmtId="164" fontId="6" fillId="7" borderId="18" xfId="2" applyNumberFormat="1" applyFont="1" applyFill="1" applyBorder="1"/>
    <xf numFmtId="164" fontId="25" fillId="7" borderId="16" xfId="2" applyNumberFormat="1" applyFont="1" applyFill="1" applyBorder="1"/>
    <xf numFmtId="164" fontId="6" fillId="7" borderId="17" xfId="2" applyNumberFormat="1" applyFont="1" applyFill="1" applyBorder="1"/>
    <xf numFmtId="164" fontId="25" fillId="0" borderId="0" xfId="4" applyNumberFormat="1" applyFont="1"/>
    <xf numFmtId="168" fontId="7" fillId="6" borderId="0" xfId="4" applyNumberFormat="1" applyFont="1" applyFill="1"/>
    <xf numFmtId="168" fontId="7" fillId="6" borderId="6" xfId="4" applyNumberFormat="1" applyFont="1" applyFill="1" applyBorder="1"/>
    <xf numFmtId="168" fontId="7" fillId="7" borderId="12" xfId="1" applyNumberFormat="1" applyFont="1" applyFill="1" applyBorder="1"/>
    <xf numFmtId="0" fontId="29" fillId="5" borderId="0" xfId="0" applyFont="1" applyFill="1"/>
    <xf numFmtId="0" fontId="23" fillId="5" borderId="0" xfId="0" applyFont="1" applyFill="1"/>
    <xf numFmtId="0" fontId="23" fillId="5" borderId="0" xfId="4" applyFont="1" applyFill="1" applyAlignment="1">
      <alignment horizontal="left" indent="2"/>
    </xf>
    <xf numFmtId="0" fontId="23" fillId="5" borderId="0" xfId="4" applyFont="1" applyFill="1" applyAlignment="1">
      <alignment horizontal="left"/>
    </xf>
    <xf numFmtId="164" fontId="0" fillId="5" borderId="0" xfId="0" applyNumberFormat="1" applyFill="1"/>
    <xf numFmtId="164" fontId="23" fillId="5" borderId="0" xfId="2" applyNumberFormat="1" applyFont="1" applyFill="1" applyBorder="1" applyProtection="1"/>
    <xf numFmtId="168" fontId="0" fillId="5" borderId="0" xfId="1" applyNumberFormat="1" applyFont="1" applyFill="1"/>
    <xf numFmtId="168" fontId="23" fillId="5" borderId="0" xfId="4" applyNumberFormat="1" applyFont="1" applyFill="1"/>
    <xf numFmtId="38" fontId="23" fillId="5" borderId="0" xfId="0" applyNumberFormat="1" applyFont="1" applyFill="1"/>
    <xf numFmtId="38" fontId="1" fillId="5" borderId="0" xfId="7" applyNumberFormat="1" applyFill="1"/>
    <xf numFmtId="168" fontId="23" fillId="5" borderId="9" xfId="4" applyNumberFormat="1" applyFont="1" applyFill="1" applyBorder="1"/>
    <xf numFmtId="0" fontId="36" fillId="5" borderId="0" xfId="4" applyFont="1" applyFill="1" applyAlignment="1">
      <alignment horizontal="left" indent="2"/>
    </xf>
    <xf numFmtId="164" fontId="23" fillId="5" borderId="14" xfId="2" applyNumberFormat="1" applyFont="1" applyFill="1" applyBorder="1" applyProtection="1"/>
    <xf numFmtId="168" fontId="0" fillId="0" borderId="0" xfId="1" applyNumberFormat="1" applyFont="1" applyBorder="1"/>
    <xf numFmtId="0" fontId="7" fillId="0" borderId="38" xfId="4" applyFont="1" applyBorder="1"/>
    <xf numFmtId="172" fontId="26" fillId="0" borderId="0" xfId="0" applyNumberFormat="1" applyFont="1"/>
    <xf numFmtId="168" fontId="23" fillId="0" borderId="0" xfId="1" applyNumberFormat="1" applyFont="1"/>
    <xf numFmtId="168" fontId="23" fillId="0" borderId="0" xfId="0" applyNumberFormat="1" applyFont="1"/>
    <xf numFmtId="164" fontId="0" fillId="0" borderId="14" xfId="2" applyNumberFormat="1" applyFont="1" applyFill="1" applyBorder="1"/>
    <xf numFmtId="164" fontId="7" fillId="0" borderId="39" xfId="4" applyNumberFormat="1" applyFont="1" applyBorder="1"/>
    <xf numFmtId="0" fontId="0" fillId="7" borderId="5" xfId="0" applyFill="1" applyBorder="1"/>
    <xf numFmtId="0" fontId="30" fillId="0" borderId="0" xfId="4" applyFont="1"/>
    <xf numFmtId="168" fontId="0" fillId="0" borderId="0" xfId="1" applyNumberFormat="1" applyFont="1" applyFill="1"/>
    <xf numFmtId="168" fontId="0" fillId="0" borderId="0" xfId="1" applyNumberFormat="1" applyFont="1" applyFill="1" applyBorder="1"/>
    <xf numFmtId="168" fontId="0" fillId="0" borderId="9" xfId="1" applyNumberFormat="1" applyFont="1" applyFill="1" applyBorder="1"/>
    <xf numFmtId="168" fontId="26" fillId="0" borderId="0" xfId="1" applyNumberFormat="1" applyFont="1"/>
    <xf numFmtId="0" fontId="0" fillId="9" borderId="0" xfId="0" applyFill="1"/>
    <xf numFmtId="9" fontId="0" fillId="9" borderId="14" xfId="3" applyFont="1" applyFill="1" applyBorder="1"/>
    <xf numFmtId="0" fontId="43" fillId="0" borderId="5" xfId="4" applyFont="1" applyBorder="1" applyAlignment="1">
      <alignment horizontal="center" wrapText="1"/>
    </xf>
    <xf numFmtId="0" fontId="4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2" applyNumberFormat="1" applyFont="1"/>
    <xf numFmtId="164" fontId="3" fillId="0" borderId="0" xfId="0" applyNumberFormat="1" applyFont="1"/>
    <xf numFmtId="168" fontId="3" fillId="0" borderId="0" xfId="1" applyNumberFormat="1" applyFont="1"/>
    <xf numFmtId="168" fontId="3" fillId="0" borderId="0" xfId="1" applyNumberFormat="1" applyFont="1" applyFill="1"/>
    <xf numFmtId="168" fontId="3" fillId="0" borderId="9" xfId="1" applyNumberFormat="1" applyFont="1" applyBorder="1"/>
    <xf numFmtId="164" fontId="3" fillId="0" borderId="14" xfId="2" applyNumberFormat="1" applyFont="1" applyBorder="1"/>
    <xf numFmtId="9" fontId="3" fillId="0" borderId="14" xfId="3" applyFont="1" applyBorder="1"/>
    <xf numFmtId="9" fontId="3" fillId="0" borderId="14" xfId="0" applyNumberFormat="1" applyFont="1" applyBorder="1"/>
    <xf numFmtId="0" fontId="50" fillId="0" borderId="0" xfId="0" applyFont="1" applyAlignment="1">
      <alignment horizontal="center"/>
    </xf>
    <xf numFmtId="0" fontId="49" fillId="0" borderId="0" xfId="0" applyFont="1"/>
    <xf numFmtId="164" fontId="49" fillId="0" borderId="0" xfId="2" applyNumberFormat="1" applyFont="1"/>
    <xf numFmtId="9" fontId="49" fillId="0" borderId="0" xfId="3" applyFont="1"/>
    <xf numFmtId="168" fontId="49" fillId="0" borderId="0" xfId="1" applyNumberFormat="1" applyFont="1"/>
    <xf numFmtId="168" fontId="49" fillId="0" borderId="9" xfId="1" applyNumberFormat="1" applyFont="1" applyBorder="1"/>
    <xf numFmtId="9" fontId="49" fillId="0" borderId="9" xfId="3" applyFont="1" applyBorder="1"/>
    <xf numFmtId="164" fontId="49" fillId="0" borderId="14" xfId="2" applyNumberFormat="1" applyFont="1" applyBorder="1"/>
    <xf numFmtId="9" fontId="49" fillId="0" borderId="14" xfId="3" applyFont="1" applyBorder="1"/>
    <xf numFmtId="0" fontId="38" fillId="0" borderId="0" xfId="0" applyFont="1"/>
    <xf numFmtId="0" fontId="43" fillId="0" borderId="0" xfId="4" applyFont="1" applyAlignment="1">
      <alignment horizontal="center" wrapText="1"/>
    </xf>
    <xf numFmtId="164" fontId="7" fillId="0" borderId="14" xfId="2" applyNumberFormat="1" applyFont="1" applyBorder="1"/>
    <xf numFmtId="168" fontId="7" fillId="0" borderId="9" xfId="6" applyNumberFormat="1" applyFont="1" applyFill="1" applyBorder="1"/>
    <xf numFmtId="168" fontId="7" fillId="7" borderId="11" xfId="1" applyNumberFormat="1" applyFont="1" applyFill="1" applyBorder="1"/>
    <xf numFmtId="168" fontId="7" fillId="0" borderId="5" xfId="6" applyNumberFormat="1" applyFont="1" applyFill="1" applyBorder="1"/>
    <xf numFmtId="3" fontId="7" fillId="0" borderId="0" xfId="4" applyNumberFormat="1" applyFont="1"/>
    <xf numFmtId="168" fontId="7" fillId="0" borderId="0" xfId="1" applyNumberFormat="1" applyFont="1"/>
    <xf numFmtId="164" fontId="51" fillId="0" borderId="0" xfId="2" applyNumberFormat="1" applyFont="1" applyFill="1"/>
    <xf numFmtId="0" fontId="37" fillId="0" borderId="0" xfId="4" applyFont="1" applyAlignment="1">
      <alignment horizontal="center"/>
    </xf>
    <xf numFmtId="0" fontId="16" fillId="3" borderId="2" xfId="4" applyFont="1" applyFill="1" applyBorder="1" applyAlignment="1">
      <alignment horizontal="center" wrapText="1"/>
    </xf>
    <xf numFmtId="0" fontId="16" fillId="3" borderId="3" xfId="4" applyFont="1" applyFill="1" applyBorder="1" applyAlignment="1">
      <alignment horizontal="center" wrapText="1"/>
    </xf>
    <xf numFmtId="0" fontId="16" fillId="2" borderId="2" xfId="4" applyFont="1" applyFill="1" applyBorder="1" applyAlignment="1">
      <alignment horizontal="center" wrapText="1"/>
    </xf>
    <xf numFmtId="0" fontId="5" fillId="0" borderId="0" xfId="4" applyFont="1" applyAlignment="1">
      <alignment horizontal="center"/>
    </xf>
    <xf numFmtId="0" fontId="35" fillId="0" borderId="0" xfId="0" applyFont="1" applyAlignment="1">
      <alignment horizontal="center"/>
    </xf>
    <xf numFmtId="0" fontId="49" fillId="0" borderId="9" xfId="0" applyFont="1" applyBorder="1" applyAlignment="1">
      <alignment horizontal="center"/>
    </xf>
    <xf numFmtId="0" fontId="9" fillId="0" borderId="0" xfId="4" applyFont="1" applyAlignment="1">
      <alignment horizontal="center"/>
    </xf>
    <xf numFmtId="0" fontId="4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7">
    <cellStyle name="Accent2 2" xfId="23" xr:uid="{7A3660A1-EED9-4B6C-BBFA-EAC686B6EF35}"/>
    <cellStyle name="Comma" xfId="1" builtinId="3"/>
    <cellStyle name="Comma 2" xfId="10" xr:uid="{D2088855-1DE1-4272-BF95-7EBB265753FA}"/>
    <cellStyle name="Comma 2 3" xfId="6" xr:uid="{B73291F7-7CC2-4238-AA76-BADDDABEEAB4}"/>
    <cellStyle name="Currency" xfId="2" builtinId="4"/>
    <cellStyle name="Currency 10" xfId="14" xr:uid="{C9AF8ADE-FD0F-49C5-998B-36A4303508C0}"/>
    <cellStyle name="Currency 11" xfId="15" xr:uid="{EA83F725-A54B-40C7-8916-4EB4B64C1F72}"/>
    <cellStyle name="Currency 13" xfId="18" xr:uid="{7C859163-6BB0-4CAC-8A10-B38DAD357161}"/>
    <cellStyle name="Currency 14" xfId="17" xr:uid="{3A3CEDFF-F2E5-4DC5-A1F1-6CC737228531}"/>
    <cellStyle name="Currency 15" xfId="19" xr:uid="{CBC8712B-E02D-4F4C-AAE4-3CC199D6D85C}"/>
    <cellStyle name="Currency 16" xfId="20" xr:uid="{E81358F3-731C-4745-AE54-7117A28A2B47}"/>
    <cellStyle name="Currency 17" xfId="21" xr:uid="{5D11FDB9-C4E4-4419-9CC1-148998CEADDA}"/>
    <cellStyle name="Currency 2" xfId="11" xr:uid="{ADDF7D44-7412-4DEA-9802-EA2991480B6D}"/>
    <cellStyle name="Currency 9" xfId="13" xr:uid="{10BBAF03-63F3-44C5-8396-0ACCA575D501}"/>
    <cellStyle name="Normal" xfId="0" builtinId="0"/>
    <cellStyle name="Normal 10" xfId="7" xr:uid="{FAD7D8EC-B821-484D-B390-C8C7DF8C88AE}"/>
    <cellStyle name="Normal 10 2" xfId="16" xr:uid="{AA6E8474-5C2B-4AA0-811B-AB788A0A874F}"/>
    <cellStyle name="Normal 2" xfId="8" xr:uid="{4BAC7137-8FD5-49C7-A20D-C3123EF9B1BE}"/>
    <cellStyle name="Normal 2 2" xfId="22" xr:uid="{C517E821-87D3-46E6-A880-3D39DFC53186}"/>
    <cellStyle name="Normal 3" xfId="9" xr:uid="{AEDABD48-2F16-4B9A-BB04-4C2C8C43E7DA}"/>
    <cellStyle name="Normal 5" xfId="26" xr:uid="{26768F50-475D-4A84-879E-67D6E82DCD98}"/>
    <cellStyle name="Normal 6" xfId="24" xr:uid="{ADC5DE8E-EA27-4164-89C3-5FD4E338EA68}"/>
    <cellStyle name="Normal_2010 Financial Plan" xfId="5" xr:uid="{017F1B85-D62D-47DA-BFED-6634A5C2DEBD}"/>
    <cellStyle name="Normal_Greg's file -2010 Bud Plan-3-17-10" xfId="4" xr:uid="{E963FB63-1CB4-4895-B828-6408F42C6E40}"/>
    <cellStyle name="Percent" xfId="3" builtinId="5"/>
    <cellStyle name="Percent 2" xfId="12" xr:uid="{5724AD63-CEB5-4C65-85FA-56717F91850A}"/>
    <cellStyle name="Percent 4" xfId="25" xr:uid="{64BFAC66-5D32-401D-A96B-FE6E033123FC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American Library</a:t>
            </a:r>
            <a:r>
              <a:rPr lang="en-US" sz="2000" baseline="0"/>
              <a:t> Association</a:t>
            </a:r>
          </a:p>
          <a:p>
            <a:pPr>
              <a:defRPr/>
            </a:pPr>
            <a:r>
              <a:rPr lang="en-US" sz="2000" baseline="0"/>
              <a:t>Gross Revenue</a:t>
            </a:r>
          </a:p>
          <a:p>
            <a:pPr>
              <a:defRPr/>
            </a:pPr>
            <a:r>
              <a:rPr lang="en-US" sz="2000" baseline="0"/>
              <a:t>FY 2023 Budget</a:t>
            </a:r>
          </a:p>
        </c:rich>
      </c:tx>
      <c:layout>
        <c:manualLayout>
          <c:xMode val="edge"/>
          <c:yMode val="edge"/>
          <c:x val="0.37532333265329632"/>
          <c:y val="6.35950393480440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875102380595415E-4"/>
          <c:y val="0.19099747147966023"/>
          <c:w val="0.9552318256568233"/>
          <c:h val="0.783739026106105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47-404E-8AA7-D5C39DCF35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47-404E-8AA7-D5C39DCF35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047-404E-8AA7-D5C39DCF35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047-404E-8AA7-D5C39DCF35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047-404E-8AA7-D5C39DCF35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047-404E-8AA7-D5C39DCF35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047-404E-8AA7-D5C39DCF35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047-404E-8AA7-D5C39DCF35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047-404E-8AA7-D5C39DCF35F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047-404E-8AA7-D5C39DCF35F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047-404E-8AA7-D5C39DCF35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0395575-D854-4ECF-A5B5-E511438E5509}" type="CELLRANGE">
                      <a:rPr lang="en-US"/>
                      <a:pPr/>
                      <a:t>[CELLRANGE]</a:t>
                    </a:fld>
                    <a:fld id="{DD13D09B-AE91-492D-AB6F-06B6439BF62C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047-404E-8AA7-D5C39DCF3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AAAEEFA-1E16-4C09-B6AC-5F753658A64C}" type="CELLRANGE">
                      <a:rPr lang="en-US"/>
                      <a:pPr/>
                      <a:t>[CELLRANGE]</a:t>
                    </a:fld>
                    <a:fld id="{355241AA-4B0B-4EF4-82B0-69E8883DD245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47-404E-8AA7-D5C39DCF3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B33C526-2FCA-4D5B-9675-495B7E7080AB}" type="CELLRANGE">
                      <a:rPr lang="en-US"/>
                      <a:pPr/>
                      <a:t>[CELLRANGE]</a:t>
                    </a:fld>
                    <a:fld id="{3223D071-7282-4B88-8C46-06ABCD06D12C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047-404E-8AA7-D5C39DCF3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3B2DE9-9662-4EDE-BAC5-381B305F8C73}" type="CELLRANGE">
                      <a:rPr lang="en-US"/>
                      <a:pPr/>
                      <a:t>[CELLRANGE]</a:t>
                    </a:fld>
                    <a:fld id="{1CCD4B40-C19D-4E3B-9D82-75F761F45576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047-404E-8AA7-D5C39DCF3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649945-8DFD-4427-B1B3-64A0C49A830F}" type="CELLRANGE">
                      <a:rPr lang="en-US"/>
                      <a:pPr/>
                      <a:t>[CELLRANGE]</a:t>
                    </a:fld>
                    <a:fld id="{029364D2-D6D4-4D01-81B2-5C2C71505FAC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047-404E-8AA7-D5C39DCF3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2A4F134-699C-4274-83A9-35EF904A0991}" type="CELLRANGE">
                      <a:rPr lang="en-US"/>
                      <a:pPr/>
                      <a:t>[CELLRANGE]</a:t>
                    </a:fld>
                    <a:fld id="{E631B708-122E-4259-9DA6-E7A7A2D23AF8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047-404E-8AA7-D5C39DCF35F6}"/>
                </c:ext>
              </c:extLst>
            </c:dLbl>
            <c:dLbl>
              <c:idx val="7"/>
              <c:layout>
                <c:manualLayout>
                  <c:x val="-7.5502170894067133E-2"/>
                  <c:y val="3.113051401582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$</a:t>
                    </a:r>
                    <a:fld id="{B913B0A5-A7E4-4410-8945-8EB11E6B5A56}" type="VALUE">
                      <a:rPr lang="en-US"/>
                      <a:pPr/>
                      <a:t>[VALUE]</a:t>
                    </a:fld>
                    <a:fld id="{8C2965E3-4FB8-463F-B8A0-2EA2370715B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{8C2965E3-4FB8-463F-B8A0-2EA2370715B1}</c15:txfldGUID>
                      <c15:f>'Revenue Pie Chart'!$I$39</c15:f>
                      <c15:dlblFieldTableCache>
                        <c:ptCount val="1"/>
                        <c:pt idx="0">
                          <c:v>Interest Income and Investment Earnings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047-404E-8AA7-D5C39DCF35F6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t>$</a:t>
                    </a:r>
                    <a:fld id="{1CB2AAAB-66F6-4899-9AC5-38C2F2589AAA}" type="VALUE">
                      <a:rPr lang="en-US" sz="11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[VALUE]</a:t>
                    </a:fld>
                    <a:fld id="{3BD1B8D0-CA87-4AF6-BE19-CDDE3C1BD40F}" type="CELLREF">
                      <a:rPr lang="en-US" sz="11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[CELLREF]</a:t>
                    </a:fld>
                    <a:endParaRPr lang="en-US" sz="11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{3BD1B8D0-CA87-4AF6-BE19-CDDE3C1BD40F}</c15:txfldGUID>
                      <c15:f>'Revenue Pie Chart'!$I$40</c15:f>
                      <c15:dlblFieldTableCache>
                        <c:ptCount val="1"/>
                        <c:pt idx="0">
                          <c:v>Contributed Revenue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047-404E-8AA7-D5C39DCF35F6}"/>
                </c:ext>
              </c:extLst>
            </c:dLbl>
            <c:dLbl>
              <c:idx val="9"/>
              <c:layout>
                <c:manualLayout>
                  <c:x val="-0.11141341233215241"/>
                  <c:y val="2.7437030499283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$</a:t>
                    </a:r>
                    <a:fld id="{9A78FDB4-87A9-4F5C-A4FC-475DE88604CD}" type="VALUE">
                      <a:rPr lang="en-US"/>
                      <a:pPr/>
                      <a:t>[VALUE]</a:t>
                    </a:fld>
                    <a:fld id="{5AE5BBCA-2A7E-4544-8ACF-804F2D29589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{5AE5BBCA-2A7E-4544-8ACF-804F2D295897}</c15:txfldGUID>
                      <c15:f>'Revenue Pie Chart'!$I$41</c15:f>
                      <c15:dlblFieldTableCache>
                        <c:ptCount val="1"/>
                        <c:pt idx="0">
                          <c:v>Continuing Education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047-404E-8AA7-D5C39DCF35F6}"/>
                </c:ext>
              </c:extLst>
            </c:dLbl>
            <c:dLbl>
              <c:idx val="10"/>
              <c:layout>
                <c:manualLayout>
                  <c:x val="0.18984147991525641"/>
                  <c:y val="-1.10891183717485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i="0" baseline="0"/>
                      <a:t>$457,434 </a:t>
                    </a:r>
                    <a:fld id="{1E89ABC4-3320-4AEE-844E-CB3A09DD2A1C}" type="CATEGORYNAME">
                      <a:rPr lang="en-US" sz="1100" b="1" i="0" baseline="0"/>
                      <a:pPr>
                        <a:defRPr sz="1100" b="1"/>
                      </a:pPr>
                      <a:t>[CATEGORY NAME]</a:t>
                    </a:fld>
                    <a:fld id="{42780666-3447-4B93-9EA3-C3D8E589A5DD}" type="CATEGORYNAME">
                      <a:rPr lang="en-US" sz="1100" b="1" i="0" baseline="0"/>
                      <a:pPr>
                        <a:defRPr sz="1100" b="1"/>
                      </a:pPr>
                      <a:t>[CATEGORY NAME]</a:t>
                    </a:fld>
                    <a:r>
                      <a:rPr lang="en-US" sz="1100" b="1" i="0" baseline="0"/>
                      <a:t>Other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87290753715694E-2"/>
                      <c:h val="6.714591879218907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A047-404E-8AA7-D5C39DCF3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'Revenue Pie Chart'!$I$33:$I$42</c:f>
              <c:strCache>
                <c:ptCount val="10"/>
                <c:pt idx="0">
                  <c:v>Publishing &amp; Media Department</c:v>
                </c:pt>
                <c:pt idx="1">
                  <c:v>Conference</c:v>
                </c:pt>
                <c:pt idx="2">
                  <c:v>Membership Dues</c:v>
                </c:pt>
                <c:pt idx="3">
                  <c:v>Divisions</c:v>
                </c:pt>
                <c:pt idx="4">
                  <c:v>Round Tables</c:v>
                </c:pt>
                <c:pt idx="5">
                  <c:v>Grants</c:v>
                </c:pt>
                <c:pt idx="6">
                  <c:v>Interest Income and Investment Earnings</c:v>
                </c:pt>
                <c:pt idx="7">
                  <c:v>Contributed Revenue</c:v>
                </c:pt>
                <c:pt idx="8">
                  <c:v>Continuing Education</c:v>
                </c:pt>
                <c:pt idx="9">
                  <c:v>Other </c:v>
                </c:pt>
              </c:strCache>
            </c:strRef>
          </c:cat>
          <c:val>
            <c:numRef>
              <c:f>'Detailed GF version'!$Z$10:$Z$20</c:f>
              <c:numCache>
                <c:formatCode>_(* #,##0_);_(* \(#,##0\);_(* "-"??_);_(@_)</c:formatCode>
                <c:ptCount val="11"/>
                <c:pt idx="0" formatCode="_(&quot;$&quot;* #,##0_);_(&quot;$&quot;* \(#,##0\);_(&quot;$&quot;* &quot;-&quot;??_);_(@_)">
                  <c:v>9340334.5600000024</c:v>
                </c:pt>
                <c:pt idx="1">
                  <c:v>7081400</c:v>
                </c:pt>
                <c:pt idx="2">
                  <c:v>4877900</c:v>
                </c:pt>
                <c:pt idx="3">
                  <c:v>11975437</c:v>
                </c:pt>
                <c:pt idx="4">
                  <c:v>564013</c:v>
                </c:pt>
                <c:pt idx="5">
                  <c:v>8749802.9499999993</c:v>
                </c:pt>
                <c:pt idx="6">
                  <c:v>0</c:v>
                </c:pt>
                <c:pt idx="7">
                  <c:v>1956481</c:v>
                </c:pt>
                <c:pt idx="8">
                  <c:v>4507000</c:v>
                </c:pt>
                <c:pt idx="9">
                  <c:v>692000</c:v>
                </c:pt>
                <c:pt idx="10">
                  <c:v>457434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'Revenue Pie Chart'!$J$33:$J$42</c15:f>
                <c15:dlblRangeCache>
                  <c:ptCount val="10"/>
                  <c:pt idx="0">
                    <c:v> $9,340,335 </c:v>
                  </c:pt>
                  <c:pt idx="1">
                    <c:v> $7,081,400 </c:v>
                  </c:pt>
                  <c:pt idx="2">
                    <c:v> $4,877,900 </c:v>
                  </c:pt>
                  <c:pt idx="3">
                    <c:v> $11,975,437 </c:v>
                  </c:pt>
                  <c:pt idx="4">
                    <c:v> $564,013 </c:v>
                  </c:pt>
                  <c:pt idx="5">
                    <c:v> $8,749,803 </c:v>
                  </c:pt>
                  <c:pt idx="6">
                    <c:v> $1,956,481 </c:v>
                  </c:pt>
                  <c:pt idx="7">
                    <c:v> $4,507,000 </c:v>
                  </c:pt>
                  <c:pt idx="8">
                    <c:v> $692,000 </c:v>
                  </c:pt>
                  <c:pt idx="9">
                    <c:v> $457,434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A047-404E-8AA7-D5C39DCF3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ALA</a:t>
            </a:r>
            <a:r>
              <a:rPr lang="en-US">
                <a:solidFill>
                  <a:srgbClr val="0070C0"/>
                </a:solidFill>
              </a:rPr>
              <a:t>American Library Association</a:t>
            </a:r>
          </a:p>
          <a:p>
            <a:pPr>
              <a:defRPr/>
            </a:pPr>
            <a:r>
              <a:rPr lang="en-US"/>
              <a:t>Short-term Investments</a:t>
            </a:r>
          </a:p>
          <a:p>
            <a:pPr>
              <a:defRPr/>
            </a:pPr>
            <a:r>
              <a:rPr lang="en-US"/>
              <a:t>FY 2016 through FY 2027</a:t>
            </a:r>
          </a:p>
        </c:rich>
      </c:tx>
      <c:layout>
        <c:manualLayout>
          <c:xMode val="edge"/>
          <c:yMode val="edge"/>
          <c:x val="0.42358043437945997"/>
          <c:y val="8.44151387556108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1.730135264328141E-2"/>
                  <c:y val="-5.115983031138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59-49FF-9F1E-BFA8EE61C22B}"/>
                </c:ext>
              </c:extLst>
            </c:dLbl>
            <c:dLbl>
              <c:idx val="3"/>
              <c:layout>
                <c:manualLayout>
                  <c:x val="-5.4389557005791525E-3"/>
                  <c:y val="-5.5664335614729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59-49FF-9F1E-BFA8EE61C22B}"/>
                </c:ext>
              </c:extLst>
            </c:dLbl>
            <c:dLbl>
              <c:idx val="4"/>
              <c:layout>
                <c:manualLayout>
                  <c:x val="-3.4537384266127673E-2"/>
                  <c:y val="-6.6925598873093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59-49FF-9F1E-BFA8EE61C22B}"/>
                </c:ext>
              </c:extLst>
            </c:dLbl>
            <c:dLbl>
              <c:idx val="5"/>
              <c:layout>
                <c:manualLayout>
                  <c:x val="-4.4189452380073192E-2"/>
                  <c:y val="-4.2150819704692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59-49FF-9F1E-BFA8EE61C22B}"/>
                </c:ext>
              </c:extLst>
            </c:dLbl>
            <c:dLbl>
              <c:idx val="9"/>
              <c:layout>
                <c:manualLayout>
                  <c:x val="-4.1816972991532739E-2"/>
                  <c:y val="-6.4673346221420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59-49FF-9F1E-BFA8EE61C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'Liquidity - ST Investments'!$C$5:$N$5</c:f>
              <c:strCache>
                <c:ptCount val="12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  <c:pt idx="7">
                  <c:v>FY 2023</c:v>
                </c:pt>
                <c:pt idx="8">
                  <c:v>FY 2024</c:v>
                </c:pt>
                <c:pt idx="9">
                  <c:v>FY 2025</c:v>
                </c:pt>
                <c:pt idx="10">
                  <c:v>FY 2026</c:v>
                </c:pt>
                <c:pt idx="11">
                  <c:v>FY 2027</c:v>
                </c:pt>
              </c:strCache>
            </c:strRef>
          </c:cat>
          <c:val>
            <c:numRef>
              <c:f>'Liquidity - ST Investments'!$C$7:$N$7</c:f>
              <c:numCache>
                <c:formatCode>_("$"* #,##0_);_("$"* \(#,##0\);_("$"* "-"??_);_(@_)</c:formatCode>
                <c:ptCount val="12"/>
                <c:pt idx="0">
                  <c:v>14154503</c:v>
                </c:pt>
                <c:pt idx="1">
                  <c:v>8177379</c:v>
                </c:pt>
                <c:pt idx="2">
                  <c:v>9344249</c:v>
                </c:pt>
                <c:pt idx="3">
                  <c:v>3410301.38</c:v>
                </c:pt>
                <c:pt idx="4">
                  <c:v>764197.52</c:v>
                </c:pt>
                <c:pt idx="5">
                  <c:v>4860179</c:v>
                </c:pt>
                <c:pt idx="6">
                  <c:v>7536805</c:v>
                </c:pt>
                <c:pt idx="7">
                  <c:v>7587263.9975761026</c:v>
                </c:pt>
                <c:pt idx="8">
                  <c:v>7710882.0660990039</c:v>
                </c:pt>
                <c:pt idx="9">
                  <c:v>8817103.4427183531</c:v>
                </c:pt>
                <c:pt idx="10">
                  <c:v>12816724.95332931</c:v>
                </c:pt>
                <c:pt idx="11">
                  <c:v>15103007.42597023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AAC-4BE8-99A6-DB4FDBE392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8422136"/>
        <c:axId val="558425088"/>
      </c:lineChart>
      <c:catAx>
        <c:axId val="55842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25088"/>
        <c:crosses val="autoZero"/>
        <c:auto val="1"/>
        <c:lblAlgn val="ctr"/>
        <c:lblOffset val="100"/>
        <c:noMultiLvlLbl val="0"/>
      </c:catAx>
      <c:valAx>
        <c:axId val="558425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crossAx val="558422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396874</xdr:colOff>
      <xdr:row>32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1AC0E6-1369-40B0-B5F0-B0779B2B5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95250</xdr:colOff>
      <xdr:row>35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ABB752-A2BA-4FCE-9913-3077CE8DE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FBA-C9DE-43F5-A4B2-5F9A11EBC6A5}">
  <sheetPr>
    <pageSetUpPr fitToPage="1"/>
  </sheetPr>
  <dimension ref="A2:AK195"/>
  <sheetViews>
    <sheetView tabSelected="1" zoomScale="80" zoomScaleNormal="80" workbookViewId="0"/>
  </sheetViews>
  <sheetFormatPr defaultColWidth="10.6640625" defaultRowHeight="13.2" x14ac:dyDescent="0.25"/>
  <cols>
    <col min="1" max="1" width="3" style="3" customWidth="1"/>
    <col min="2" max="2" width="74.5546875" style="2" customWidth="1"/>
    <col min="3" max="3" width="18.6640625" style="3" hidden="1" customWidth="1"/>
    <col min="4" max="4" width="23.33203125" style="3" hidden="1" customWidth="1"/>
    <col min="5" max="6" width="18.6640625" style="3" hidden="1" customWidth="1"/>
    <col min="7" max="7" width="23.33203125" style="3" hidden="1" customWidth="1"/>
    <col min="8" max="8" width="18.6640625" style="3" hidden="1" customWidth="1"/>
    <col min="9" max="11" width="20.5546875" style="3" hidden="1" customWidth="1"/>
    <col min="12" max="13" width="18.6640625" style="3" hidden="1" customWidth="1"/>
    <col min="14" max="14" width="14.33203125" style="3" hidden="1" customWidth="1"/>
    <col min="15" max="15" width="12.33203125" style="3" hidden="1" customWidth="1"/>
    <col min="16" max="17" width="18.6640625" style="3" hidden="1" customWidth="1"/>
    <col min="18" max="19" width="23" style="3" hidden="1" customWidth="1"/>
    <col min="20" max="20" width="20" style="3" hidden="1" customWidth="1"/>
    <col min="21" max="22" width="20" style="3" customWidth="1"/>
    <col min="23" max="23" width="19.6640625" style="3" hidden="1" customWidth="1"/>
    <col min="24" max="28" width="21.77734375" style="3" customWidth="1"/>
    <col min="29" max="29" width="24.44140625" style="3" customWidth="1"/>
    <col min="30" max="30" width="19.33203125" style="3" customWidth="1"/>
    <col min="31" max="31" width="13.44140625" style="3" customWidth="1"/>
    <col min="32" max="32" width="14.5546875" style="3" bestFit="1" customWidth="1"/>
    <col min="33" max="33" width="12.6640625" style="3" bestFit="1" customWidth="1"/>
    <col min="34" max="16384" width="10.6640625" style="3"/>
  </cols>
  <sheetData>
    <row r="2" spans="1:33" ht="24.6" x14ac:dyDescent="0.4">
      <c r="A2" s="1" t="s">
        <v>71</v>
      </c>
      <c r="G2" s="4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5" t="s">
        <v>2</v>
      </c>
      <c r="V2" s="5" t="s">
        <v>0</v>
      </c>
      <c r="X2" s="6" t="s">
        <v>170</v>
      </c>
      <c r="AB2" s="288" t="s">
        <v>185</v>
      </c>
      <c r="AC2" s="288"/>
    </row>
    <row r="3" spans="1:33" ht="20.25" customHeight="1" x14ac:dyDescent="0.4">
      <c r="A3" s="7" t="s">
        <v>1</v>
      </c>
      <c r="B3" s="7"/>
      <c r="C3" s="7"/>
      <c r="D3" s="8"/>
      <c r="E3" s="7"/>
      <c r="F3" s="7"/>
      <c r="G3" s="9"/>
      <c r="H3" s="7"/>
      <c r="I3" s="10"/>
      <c r="J3" s="7"/>
      <c r="K3" s="7"/>
      <c r="T3" s="11"/>
      <c r="U3" s="11"/>
      <c r="V3" s="11"/>
      <c r="X3" s="6" t="s">
        <v>165</v>
      </c>
      <c r="AB3" s="288" t="s">
        <v>186</v>
      </c>
      <c r="AC3" s="288"/>
    </row>
    <row r="4" spans="1:33" ht="15.75" customHeight="1" x14ac:dyDescent="0.3">
      <c r="A4" s="35" t="s">
        <v>168</v>
      </c>
      <c r="B4" s="15"/>
      <c r="C4" s="16"/>
      <c r="D4" s="16"/>
      <c r="E4" s="16"/>
      <c r="F4" s="16"/>
      <c r="G4" s="17"/>
      <c r="H4" s="18"/>
      <c r="I4"/>
      <c r="J4"/>
      <c r="K4"/>
      <c r="L4"/>
      <c r="M4"/>
      <c r="N4"/>
      <c r="O4"/>
      <c r="P4"/>
      <c r="Q4"/>
      <c r="R4"/>
      <c r="T4"/>
      <c r="U4" s="19"/>
      <c r="V4" s="19"/>
      <c r="X4" s="6" t="s">
        <v>166</v>
      </c>
    </row>
    <row r="5" spans="1:33" ht="15.75" customHeight="1" x14ac:dyDescent="0.3">
      <c r="A5" s="15"/>
      <c r="B5" s="15"/>
      <c r="C5" s="16"/>
      <c r="D5" s="16"/>
      <c r="E5" s="16"/>
      <c r="F5" s="16"/>
      <c r="G5" s="17"/>
      <c r="H5" s="18"/>
      <c r="I5"/>
      <c r="J5"/>
      <c r="K5"/>
      <c r="L5"/>
      <c r="M5"/>
      <c r="N5"/>
      <c r="O5"/>
      <c r="P5"/>
      <c r="Q5"/>
      <c r="R5"/>
      <c r="T5"/>
      <c r="U5" s="19"/>
      <c r="V5" s="19"/>
      <c r="X5" s="6" t="s">
        <v>162</v>
      </c>
    </row>
    <row r="6" spans="1:33" ht="15.75" customHeight="1" thickBot="1" x14ac:dyDescent="0.35">
      <c r="A6" s="15"/>
      <c r="B6" s="15"/>
      <c r="C6" s="16"/>
      <c r="D6" s="16"/>
      <c r="E6" s="16"/>
      <c r="F6" s="16"/>
      <c r="G6" s="18"/>
      <c r="H6" s="18"/>
      <c r="I6"/>
      <c r="J6"/>
      <c r="K6"/>
      <c r="L6"/>
      <c r="M6"/>
      <c r="N6"/>
      <c r="O6"/>
      <c r="P6"/>
      <c r="Q6"/>
      <c r="R6"/>
      <c r="S6"/>
      <c r="T6"/>
      <c r="U6" s="23"/>
      <c r="V6" s="23"/>
      <c r="W6" s="24"/>
      <c r="X6" s="6"/>
    </row>
    <row r="7" spans="1:33" ht="15.75" customHeight="1" x14ac:dyDescent="0.3">
      <c r="A7" s="15"/>
      <c r="B7" s="15"/>
      <c r="C7" s="16"/>
      <c r="D7" s="16"/>
      <c r="E7" s="16"/>
      <c r="F7" s="16"/>
      <c r="G7" s="18"/>
      <c r="H7" s="18"/>
      <c r="I7" s="18"/>
      <c r="J7" s="18"/>
      <c r="L7" s="266" t="s">
        <v>2</v>
      </c>
      <c r="M7" s="267"/>
      <c r="N7" s="474" t="s">
        <v>3</v>
      </c>
      <c r="O7" s="475"/>
      <c r="P7" s="265" t="s">
        <v>2</v>
      </c>
      <c r="Q7" s="265" t="s">
        <v>4</v>
      </c>
      <c r="R7" s="266" t="s">
        <v>5</v>
      </c>
      <c r="T7" s="264"/>
      <c r="U7" s="264"/>
      <c r="V7" s="264"/>
      <c r="W7" s="263"/>
      <c r="X7" s="263"/>
      <c r="Y7" s="286"/>
      <c r="Z7" s="286"/>
      <c r="AA7" s="286"/>
      <c r="AB7" s="287"/>
    </row>
    <row r="8" spans="1:33" s="22" customFormat="1" ht="15.75" customHeight="1" x14ac:dyDescent="0.25">
      <c r="B8" s="25"/>
      <c r="C8" s="22">
        <v>2012</v>
      </c>
      <c r="D8" s="22" t="s">
        <v>6</v>
      </c>
      <c r="E8" s="22" t="s">
        <v>7</v>
      </c>
      <c r="F8" s="22" t="s">
        <v>8</v>
      </c>
      <c r="G8" s="22" t="s">
        <v>9</v>
      </c>
      <c r="H8" s="26" t="s">
        <v>10</v>
      </c>
      <c r="I8" s="22" t="s">
        <v>11</v>
      </c>
      <c r="K8" s="22" t="s">
        <v>65</v>
      </c>
      <c r="L8" s="265" t="s">
        <v>12</v>
      </c>
      <c r="M8" s="265" t="s">
        <v>13</v>
      </c>
      <c r="N8" s="269" t="s">
        <v>14</v>
      </c>
      <c r="O8" s="270" t="s">
        <v>15</v>
      </c>
      <c r="P8" s="265" t="s">
        <v>13</v>
      </c>
      <c r="Q8" s="265" t="s">
        <v>16</v>
      </c>
      <c r="R8" s="268" t="s">
        <v>17</v>
      </c>
      <c r="S8" s="22" t="s">
        <v>70</v>
      </c>
      <c r="T8" s="22" t="s">
        <v>145</v>
      </c>
      <c r="U8" s="22" t="s">
        <v>159</v>
      </c>
      <c r="V8" s="22" t="s">
        <v>177</v>
      </c>
      <c r="W8" s="325" t="s">
        <v>74</v>
      </c>
      <c r="X8" s="443" t="s">
        <v>158</v>
      </c>
      <c r="Y8" s="465" t="s">
        <v>176</v>
      </c>
      <c r="Z8" s="22" t="s">
        <v>73</v>
      </c>
      <c r="AA8" s="22" t="s">
        <v>72</v>
      </c>
      <c r="AB8" s="233" t="s">
        <v>163</v>
      </c>
    </row>
    <row r="9" spans="1:33" ht="12" customHeight="1" x14ac:dyDescent="0.3">
      <c r="H9" s="28"/>
      <c r="L9" s="29"/>
      <c r="N9" s="30"/>
      <c r="O9" s="31"/>
      <c r="Q9" s="32" t="s">
        <v>2</v>
      </c>
      <c r="R9" s="33" t="s">
        <v>2</v>
      </c>
      <c r="S9" s="32"/>
      <c r="T9" s="361" t="s">
        <v>2</v>
      </c>
      <c r="U9" s="32" t="s">
        <v>2</v>
      </c>
      <c r="V9" s="32" t="s">
        <v>2</v>
      </c>
      <c r="W9" s="326"/>
      <c r="X9" s="326"/>
      <c r="Y9" s="32"/>
      <c r="Z9" s="32"/>
      <c r="AA9" s="32"/>
      <c r="AB9" s="234"/>
    </row>
    <row r="10" spans="1:33" ht="15.6" x14ac:dyDescent="0.3">
      <c r="A10" s="35" t="s">
        <v>132</v>
      </c>
      <c r="H10" s="28"/>
      <c r="L10" s="36"/>
      <c r="N10" s="37"/>
      <c r="O10" s="38"/>
      <c r="P10" s="4"/>
      <c r="Q10" s="4"/>
      <c r="R10" s="36"/>
      <c r="S10" s="39"/>
      <c r="T10" s="39"/>
      <c r="U10" s="39"/>
      <c r="V10" s="39"/>
      <c r="W10" s="327"/>
      <c r="X10" s="327"/>
      <c r="Y10" s="39"/>
      <c r="Z10" s="39"/>
      <c r="AA10" s="39"/>
      <c r="AB10" s="235"/>
    </row>
    <row r="11" spans="1:33" ht="12" customHeight="1" x14ac:dyDescent="0.3">
      <c r="B11" s="2" t="s">
        <v>141</v>
      </c>
      <c r="C11" s="40">
        <v>12452459</v>
      </c>
      <c r="D11" s="40">
        <v>12870426</v>
      </c>
      <c r="E11" s="40">
        <v>13219338</v>
      </c>
      <c r="F11" s="40">
        <v>12645125</v>
      </c>
      <c r="G11" s="40">
        <v>11706423</v>
      </c>
      <c r="H11" s="41">
        <v>12894222</v>
      </c>
      <c r="I11" s="42">
        <v>11025969</v>
      </c>
      <c r="J11" s="42"/>
      <c r="K11" s="42">
        <v>12153012.770000001</v>
      </c>
      <c r="L11" s="43">
        <v>11950550</v>
      </c>
      <c r="M11" s="42">
        <v>12132294</v>
      </c>
      <c r="N11" s="44">
        <f t="shared" ref="N11:N18" si="0">-L11+M11</f>
        <v>181744</v>
      </c>
      <c r="O11" s="45">
        <f>+N11/L11</f>
        <v>1.5208002978942392E-2</v>
      </c>
      <c r="P11" s="46">
        <f>11950550+181744</f>
        <v>12132294</v>
      </c>
      <c r="Q11" s="40">
        <v>12882158</v>
      </c>
      <c r="R11" s="43">
        <v>11497073</v>
      </c>
      <c r="S11" s="42">
        <v>10819530.960000001</v>
      </c>
      <c r="T11" s="42">
        <f>+'Detailed GF version'!T10</f>
        <v>9491967</v>
      </c>
      <c r="U11" s="42">
        <f>+'Detailed GF version'!U10</f>
        <v>8737744.9700000007</v>
      </c>
      <c r="V11" s="42">
        <f>+'Detailed GF version'!X10</f>
        <v>9329853.2600000016</v>
      </c>
      <c r="W11" s="328">
        <f>+'Detailed GF version'!Y10</f>
        <v>9343936.5199999996</v>
      </c>
      <c r="X11" s="83">
        <f>+'Detailed GF version'!Z10</f>
        <v>9340334.5600000024</v>
      </c>
      <c r="Y11" s="80">
        <f>+'Detailed GF version'!AA10</f>
        <v>9146010</v>
      </c>
      <c r="Z11" s="80">
        <f>+'Detailed GF version'!AB10</f>
        <v>9747017.8300000001</v>
      </c>
      <c r="AA11" s="82">
        <f>+'Detailed GF version'!AC10</f>
        <v>9947309.5935169999</v>
      </c>
      <c r="AB11" s="317">
        <f>+'Detailed GF version'!AD10</f>
        <v>10147501.05410652</v>
      </c>
      <c r="AC11" s="39"/>
      <c r="AD11"/>
      <c r="AE11"/>
      <c r="AF11" s="39" t="s">
        <v>2</v>
      </c>
      <c r="AG11" s="39" t="s">
        <v>2</v>
      </c>
    </row>
    <row r="12" spans="1:33" ht="12" customHeight="1" x14ac:dyDescent="0.3">
      <c r="B12" s="2" t="s">
        <v>103</v>
      </c>
      <c r="C12" s="47">
        <f>5144430+2620625</f>
        <v>7765055</v>
      </c>
      <c r="D12" s="47">
        <f>6277143+2587255</f>
        <v>8864398</v>
      </c>
      <c r="E12" s="47">
        <f>5613872+2674882</f>
        <v>8288754</v>
      </c>
      <c r="F12" s="47">
        <f>6618866+2687032</f>
        <v>9305898</v>
      </c>
      <c r="G12" s="47">
        <v>8349976</v>
      </c>
      <c r="H12" s="48">
        <v>9703950</v>
      </c>
      <c r="I12" s="49">
        <f>6660599+2743689</f>
        <v>9404288</v>
      </c>
      <c r="J12" s="49"/>
      <c r="K12" s="54">
        <v>8963170.3499999996</v>
      </c>
      <c r="L12" s="55">
        <f>6572875+2857000</f>
        <v>9429875</v>
      </c>
      <c r="M12" s="54">
        <v>9079875</v>
      </c>
      <c r="N12" s="51">
        <f t="shared" si="0"/>
        <v>-350000</v>
      </c>
      <c r="O12" s="45">
        <f t="shared" ref="O12:O18" si="1">+N12/L12</f>
        <v>-3.7116080541894775E-2</v>
      </c>
      <c r="P12" s="56">
        <f>6572875+2857000-350000</f>
        <v>9079875</v>
      </c>
      <c r="Q12" s="54">
        <v>9875000</v>
      </c>
      <c r="R12" s="55">
        <v>9495240</v>
      </c>
      <c r="S12" s="54">
        <v>9522579.3300000001</v>
      </c>
      <c r="T12" s="54">
        <f>+'Detailed GF version'!T11</f>
        <v>2851173</v>
      </c>
      <c r="U12" s="54">
        <f>+'Detailed GF version'!U11</f>
        <v>2503871</v>
      </c>
      <c r="V12" s="54">
        <f>+'Detailed GF version'!X11</f>
        <v>5272153.74</v>
      </c>
      <c r="W12" s="329">
        <f>+'Detailed GF version'!Y11</f>
        <v>7044625</v>
      </c>
      <c r="X12" s="88">
        <f>+'Detailed GF version'!Z11</f>
        <v>7081400</v>
      </c>
      <c r="Y12" s="54">
        <f>+'Detailed GF version'!AA11</f>
        <v>5945007</v>
      </c>
      <c r="Z12" s="54">
        <f>+'Detailed GF version'!AB11</f>
        <v>7173448.2199999997</v>
      </c>
      <c r="AA12" s="54">
        <f>+'Detailed GF version'!AC11</f>
        <v>7747324.0776000004</v>
      </c>
      <c r="AB12" s="237">
        <f>+'Detailed GF version'!AD11</f>
        <v>5138817.9570000004</v>
      </c>
      <c r="AC12" s="164"/>
      <c r="AD12"/>
    </row>
    <row r="13" spans="1:33" ht="12" customHeight="1" x14ac:dyDescent="0.3">
      <c r="B13" s="2" t="s">
        <v>104</v>
      </c>
      <c r="C13" s="47">
        <v>5711188</v>
      </c>
      <c r="D13" s="47">
        <v>5543754</v>
      </c>
      <c r="E13" s="47">
        <v>5459793</v>
      </c>
      <c r="F13" s="47">
        <v>5415745</v>
      </c>
      <c r="G13" s="47">
        <v>5515846</v>
      </c>
      <c r="H13" s="53">
        <v>5538000</v>
      </c>
      <c r="I13" s="54">
        <v>5294533</v>
      </c>
      <c r="J13" s="54"/>
      <c r="K13" s="54">
        <v>5369789.2699999996</v>
      </c>
      <c r="L13" s="55">
        <v>5354600</v>
      </c>
      <c r="M13" s="54">
        <v>5342600</v>
      </c>
      <c r="N13" s="51">
        <f t="shared" si="0"/>
        <v>-12000</v>
      </c>
      <c r="O13" s="45">
        <f t="shared" si="1"/>
        <v>-2.2410637582639227E-3</v>
      </c>
      <c r="P13" s="56">
        <v>5342600</v>
      </c>
      <c r="Q13" s="54">
        <v>5650300</v>
      </c>
      <c r="R13" s="55">
        <v>5391800</v>
      </c>
      <c r="S13" s="54">
        <v>5309136</v>
      </c>
      <c r="T13" s="54">
        <f>+'Detailed GF version'!T12</f>
        <v>5164543</v>
      </c>
      <c r="U13" s="54">
        <f>+'Detailed GF version'!U12</f>
        <v>4647655.93</v>
      </c>
      <c r="V13" s="54">
        <f>+'Detailed GF version'!X12</f>
        <v>4692922.7500000009</v>
      </c>
      <c r="W13" s="330">
        <f>+'Detailed GF version'!Y12</f>
        <v>4405792</v>
      </c>
      <c r="X13" s="88">
        <f>+'Detailed GF version'!Z12</f>
        <v>4877900</v>
      </c>
      <c r="Y13" s="54">
        <f>+'Detailed GF version'!AA12</f>
        <v>4809409</v>
      </c>
      <c r="Z13" s="54">
        <f>+'Detailed GF version'!AB12</f>
        <v>4720977.9654799998</v>
      </c>
      <c r="AA13" s="54">
        <f>+'Detailed GF version'!AC12</f>
        <v>4916163.5416913349</v>
      </c>
      <c r="AB13" s="237">
        <f>+'Detailed GF version'!AD12</f>
        <v>5114917.7405081093</v>
      </c>
      <c r="AC13" s="164"/>
      <c r="AD13" s="273"/>
    </row>
    <row r="14" spans="1:33" ht="12" customHeight="1" x14ac:dyDescent="0.3">
      <c r="B14" s="2" t="s">
        <v>105</v>
      </c>
      <c r="C14" s="47">
        <v>15337545</v>
      </c>
      <c r="D14" s="47">
        <v>13489583</v>
      </c>
      <c r="E14" s="47">
        <v>15581358</v>
      </c>
      <c r="F14" s="47">
        <v>14308907</v>
      </c>
      <c r="G14" s="47">
        <v>15813475</v>
      </c>
      <c r="H14" s="53">
        <v>13611230</v>
      </c>
      <c r="I14" s="54">
        <v>13805979</v>
      </c>
      <c r="J14" s="54"/>
      <c r="K14" s="54">
        <v>16282664</v>
      </c>
      <c r="L14" s="55">
        <f>16309466-259057</f>
        <v>16050409</v>
      </c>
      <c r="M14" s="54">
        <v>16050409</v>
      </c>
      <c r="N14" s="51">
        <f t="shared" si="0"/>
        <v>0</v>
      </c>
      <c r="O14" s="45">
        <f t="shared" si="1"/>
        <v>0</v>
      </c>
      <c r="P14" s="56">
        <f>+L14</f>
        <v>16050409</v>
      </c>
      <c r="Q14" s="54">
        <v>13799977</v>
      </c>
      <c r="R14" s="55">
        <v>13462337</v>
      </c>
      <c r="S14" s="54">
        <v>13434551.75</v>
      </c>
      <c r="T14" s="54">
        <f>+'Detailed GF version'!T13</f>
        <v>15004152.080000002</v>
      </c>
      <c r="U14" s="54">
        <f>+'Detailed GF version'!U13</f>
        <v>10773745.5</v>
      </c>
      <c r="V14" s="54">
        <f>+'Detailed GF version'!X13</f>
        <v>13508371.469999997</v>
      </c>
      <c r="W14" s="330">
        <f>+'Detailed GF version'!Y13</f>
        <v>13558950</v>
      </c>
      <c r="X14" s="55">
        <f>+'Detailed GF version'!Z13</f>
        <v>11975437</v>
      </c>
      <c r="Y14" s="54">
        <f>+'Detailed GF version'!AA13</f>
        <v>14306254.999999996</v>
      </c>
      <c r="Z14" s="54">
        <f>+'Detailed GF version'!AB13</f>
        <v>12762014.370999999</v>
      </c>
      <c r="AA14" s="54">
        <f>+'Detailed GF version'!AC13</f>
        <v>15832706.478709999</v>
      </c>
      <c r="AB14" s="237">
        <f>+'Detailed GF version'!AD13</f>
        <v>13712903.563097101</v>
      </c>
      <c r="AD14"/>
    </row>
    <row r="15" spans="1:33" ht="12" customHeight="1" x14ac:dyDescent="0.3">
      <c r="B15" s="2" t="s">
        <v>147</v>
      </c>
      <c r="C15" s="47">
        <v>350582</v>
      </c>
      <c r="D15" s="47">
        <v>410750</v>
      </c>
      <c r="E15" s="47">
        <v>358256</v>
      </c>
      <c r="F15" s="47">
        <v>428775</v>
      </c>
      <c r="G15" s="47">
        <v>434927</v>
      </c>
      <c r="H15" s="48">
        <v>441908</v>
      </c>
      <c r="I15" s="49">
        <v>467454</v>
      </c>
      <c r="J15" s="49"/>
      <c r="K15" s="49">
        <v>557998</v>
      </c>
      <c r="L15" s="50">
        <v>419592</v>
      </c>
      <c r="M15" s="49">
        <v>419592</v>
      </c>
      <c r="N15" s="51">
        <f t="shared" si="0"/>
        <v>0</v>
      </c>
      <c r="O15" s="45">
        <f t="shared" si="1"/>
        <v>0</v>
      </c>
      <c r="P15" s="52">
        <v>419592</v>
      </c>
      <c r="Q15" s="47">
        <v>400000</v>
      </c>
      <c r="R15" s="50">
        <v>400784</v>
      </c>
      <c r="S15" s="49">
        <v>687264</v>
      </c>
      <c r="T15" s="49">
        <f>+'Detailed GF version'!T14</f>
        <v>493661</v>
      </c>
      <c r="U15" s="54">
        <f>+'Detailed GF version'!U14</f>
        <v>625655.40999999992</v>
      </c>
      <c r="V15" s="54">
        <f>+'Detailed GF version'!X14</f>
        <v>665845.57999999984</v>
      </c>
      <c r="W15" s="330">
        <f>+'Detailed GF version'!Y14</f>
        <v>502348.99999999901</v>
      </c>
      <c r="X15" s="55">
        <f>+'Detailed GF version'!Z14</f>
        <v>564013</v>
      </c>
      <c r="Y15" s="54">
        <f>+'Detailed GF version'!AA14</f>
        <v>565589.99999999895</v>
      </c>
      <c r="Z15" s="54">
        <f>+'Detailed GF version'!AB14</f>
        <v>564013</v>
      </c>
      <c r="AA15" s="54">
        <f>+'Detailed GF version'!AC14</f>
        <v>564013</v>
      </c>
      <c r="AB15" s="237">
        <f>+'Detailed GF version'!AD14</f>
        <v>564013</v>
      </c>
      <c r="AD15"/>
    </row>
    <row r="16" spans="1:33" ht="12" customHeight="1" x14ac:dyDescent="0.3">
      <c r="B16" s="2" t="s">
        <v>107</v>
      </c>
      <c r="C16" s="49">
        <v>5750398</v>
      </c>
      <c r="D16" s="49">
        <v>6922284</v>
      </c>
      <c r="E16" s="49">
        <v>4954945</v>
      </c>
      <c r="F16" s="49">
        <v>7224274</v>
      </c>
      <c r="G16" s="49">
        <v>6329463</v>
      </c>
      <c r="H16" s="48">
        <v>4491310</v>
      </c>
      <c r="I16" s="54">
        <v>6319708</v>
      </c>
      <c r="J16" s="54"/>
      <c r="K16" s="54">
        <v>6970509</v>
      </c>
      <c r="L16" s="55">
        <f>6055953+48790</f>
        <v>6104743</v>
      </c>
      <c r="M16" s="54">
        <v>6104743</v>
      </c>
      <c r="N16" s="51">
        <f t="shared" si="0"/>
        <v>0</v>
      </c>
      <c r="O16" s="45">
        <f t="shared" si="1"/>
        <v>0</v>
      </c>
      <c r="P16" s="56">
        <f>+L16</f>
        <v>6104743</v>
      </c>
      <c r="Q16" s="54">
        <v>5500000</v>
      </c>
      <c r="R16" s="55">
        <v>3651680</v>
      </c>
      <c r="S16" s="54">
        <v>7310331.8700000001</v>
      </c>
      <c r="T16" s="54">
        <f>+'Detailed GF version'!T15</f>
        <v>8888229</v>
      </c>
      <c r="U16" s="54">
        <f>+'Detailed GF version'!U15</f>
        <v>3339777.3</v>
      </c>
      <c r="V16" s="54">
        <f>+'Detailed GF version'!X15</f>
        <v>12441155.800000001</v>
      </c>
      <c r="W16" s="330">
        <f>+'Detailed GF version'!Y15</f>
        <v>4310179</v>
      </c>
      <c r="X16" s="55">
        <f>+'Detailed GF version'!Z15</f>
        <v>8749802.9499999993</v>
      </c>
      <c r="Y16" s="54">
        <f>+'Detailed GF version'!AA15</f>
        <v>7333856.0200000033</v>
      </c>
      <c r="Z16" s="54">
        <f>+'Detailed GF version'!AB15</f>
        <v>5970397.6234295387</v>
      </c>
      <c r="AA16" s="54">
        <f>+'Detailed GF version'!AC15</f>
        <v>6198821.0076010153</v>
      </c>
      <c r="AB16" s="237">
        <f>+'Detailed GF version'!AD15</f>
        <v>6438665.5609810669</v>
      </c>
      <c r="AC16" s="79"/>
      <c r="AD16"/>
    </row>
    <row r="17" spans="1:34" ht="12" customHeight="1" x14ac:dyDescent="0.3">
      <c r="B17" s="2" t="str">
        <f>+'Detailed GF version'!B16</f>
        <v>Grant - PPP loan forgiveness and Employee Retention Credit</v>
      </c>
      <c r="C17" s="49"/>
      <c r="D17" s="49"/>
      <c r="E17" s="49"/>
      <c r="F17" s="49"/>
      <c r="G17" s="49"/>
      <c r="H17" s="48"/>
      <c r="I17" s="54"/>
      <c r="J17" s="54"/>
      <c r="K17" s="54"/>
      <c r="L17" s="55"/>
      <c r="M17" s="54"/>
      <c r="N17" s="51"/>
      <c r="O17" s="45"/>
      <c r="P17" s="56"/>
      <c r="Q17" s="54"/>
      <c r="R17" s="55"/>
      <c r="S17" s="54"/>
      <c r="T17" s="54"/>
      <c r="U17" s="54">
        <f>+'Detailed GF version'!U16</f>
        <v>4213035</v>
      </c>
      <c r="V17" s="54">
        <f>+'Detailed GF version'!X16</f>
        <v>5078786</v>
      </c>
      <c r="W17" s="330">
        <v>0</v>
      </c>
      <c r="X17" s="55">
        <v>0</v>
      </c>
      <c r="Y17" s="54">
        <v>0</v>
      </c>
      <c r="Z17" s="54">
        <v>0</v>
      </c>
      <c r="AA17" s="54">
        <v>0</v>
      </c>
      <c r="AB17" s="237">
        <v>0</v>
      </c>
      <c r="AC17" s="79"/>
      <c r="AD17"/>
    </row>
    <row r="18" spans="1:34" ht="12" customHeight="1" x14ac:dyDescent="0.3">
      <c r="B18" s="2" t="s">
        <v>148</v>
      </c>
      <c r="C18" s="47">
        <f>+C34+592912</f>
        <v>1344857.03</v>
      </c>
      <c r="D18" s="47">
        <f>+D34+521164</f>
        <v>1220123</v>
      </c>
      <c r="E18" s="47">
        <f>+E34+745498</f>
        <v>1449064.6600000001</v>
      </c>
      <c r="F18" s="47">
        <f>+F34+693211</f>
        <v>1780996</v>
      </c>
      <c r="G18" s="47">
        <v>2104677</v>
      </c>
      <c r="H18" s="48">
        <v>2197358</v>
      </c>
      <c r="I18" s="49">
        <f>1333533+545828</f>
        <v>1879361</v>
      </c>
      <c r="J18" s="49"/>
      <c r="K18" s="47">
        <f>1110410+834941</f>
        <v>1945351</v>
      </c>
      <c r="L18" s="277">
        <f>+L34+367909-1</f>
        <v>1567908</v>
      </c>
      <c r="M18" s="275">
        <v>1492909</v>
      </c>
      <c r="N18" s="275">
        <f t="shared" si="0"/>
        <v>-74999</v>
      </c>
      <c r="O18" s="278">
        <f t="shared" si="1"/>
        <v>-4.7833801473045612E-2</v>
      </c>
      <c r="P18" s="279">
        <f>+P34+367909</f>
        <v>1492909</v>
      </c>
      <c r="Q18" s="276">
        <v>2000000</v>
      </c>
      <c r="R18" s="277">
        <v>1775296</v>
      </c>
      <c r="S18" s="47">
        <f>804186</f>
        <v>804186</v>
      </c>
      <c r="T18" s="49">
        <f>+'Detailed GF version'!T17</f>
        <v>2050193.96</v>
      </c>
      <c r="U18" s="49">
        <f>+'Detailed GF version'!U17</f>
        <v>2439669.27</v>
      </c>
      <c r="V18" s="49">
        <f>+'Detailed GF version'!X17</f>
        <v>3058187.71</v>
      </c>
      <c r="W18" s="329">
        <f>2064040+252261-794132</f>
        <v>1522169</v>
      </c>
      <c r="X18" s="50">
        <f>+'Detailed GF version'!Z17</f>
        <v>1956481</v>
      </c>
      <c r="Y18" s="49">
        <f>+'Detailed GF version'!AA17</f>
        <v>2577307</v>
      </c>
      <c r="Z18" s="49">
        <f>+'Detailed GF version'!AB17</f>
        <v>3083850</v>
      </c>
      <c r="AA18" s="49">
        <f>+'Detailed GF version'!AC17</f>
        <v>3083850</v>
      </c>
      <c r="AB18" s="237">
        <f>+'Detailed GF version'!AD17</f>
        <v>3083850</v>
      </c>
      <c r="AD18"/>
      <c r="AG18" s="57"/>
    </row>
    <row r="19" spans="1:34" ht="12" customHeight="1" x14ac:dyDescent="0.3">
      <c r="B19" s="2" t="s">
        <v>75</v>
      </c>
      <c r="C19" s="47"/>
      <c r="D19" s="47"/>
      <c r="E19" s="47"/>
      <c r="F19" s="47"/>
      <c r="G19" s="47"/>
      <c r="H19" s="48"/>
      <c r="I19" s="47">
        <v>0</v>
      </c>
      <c r="J19" s="290"/>
      <c r="K19" s="47">
        <v>205003</v>
      </c>
      <c r="L19" s="292"/>
      <c r="M19" s="290"/>
      <c r="N19" s="290"/>
      <c r="O19" s="293"/>
      <c r="P19" s="294"/>
      <c r="Q19" s="291"/>
      <c r="R19" s="292"/>
      <c r="S19" s="49">
        <v>52500</v>
      </c>
      <c r="T19" s="49">
        <v>25000</v>
      </c>
      <c r="U19" s="49">
        <f>+'Detailed GF version'!U18</f>
        <v>3550000</v>
      </c>
      <c r="V19" s="49">
        <f>+'Detailed GF version'!X18</f>
        <v>2719000</v>
      </c>
      <c r="W19" s="329">
        <f>+'Detailed GF version'!Y18</f>
        <v>3085000</v>
      </c>
      <c r="X19" s="55">
        <f>+'Detailed GF version'!Z18</f>
        <v>4507000</v>
      </c>
      <c r="Y19" s="412">
        <f>+'Detailed GF version'!AA18</f>
        <v>5000000</v>
      </c>
      <c r="Z19" s="412">
        <f>+'Detailed GF version'!AB18</f>
        <v>6000000</v>
      </c>
      <c r="AA19" s="412">
        <f>+'Detailed GF version'!AC18</f>
        <v>6500000</v>
      </c>
      <c r="AB19" s="413">
        <f>+'Detailed GF version'!AD18</f>
        <v>6500000</v>
      </c>
      <c r="AD19"/>
      <c r="AG19" s="57"/>
    </row>
    <row r="20" spans="1:34" ht="12" customHeight="1" x14ac:dyDescent="0.3">
      <c r="B20" s="2" t="s">
        <v>76</v>
      </c>
      <c r="C20" s="47"/>
      <c r="D20" s="47"/>
      <c r="E20" s="47"/>
      <c r="F20" s="47"/>
      <c r="G20" s="47"/>
      <c r="H20" s="48"/>
      <c r="I20" s="49"/>
      <c r="J20" s="49"/>
      <c r="K20" s="47"/>
      <c r="L20" s="50"/>
      <c r="M20" s="49"/>
      <c r="N20" s="49"/>
      <c r="O20" s="299"/>
      <c r="P20" s="52"/>
      <c r="Q20" s="47"/>
      <c r="R20" s="50"/>
      <c r="S20" s="49"/>
      <c r="T20" s="49"/>
      <c r="U20" s="49">
        <v>0</v>
      </c>
      <c r="V20" s="49">
        <f>+'Detailed GF version'!X19</f>
        <v>476032.56</v>
      </c>
      <c r="W20" s="329">
        <f>+'Detailed GF version'!Y19</f>
        <v>675989</v>
      </c>
      <c r="X20" s="55">
        <f>+'Detailed GF version'!Z19</f>
        <v>692000</v>
      </c>
      <c r="Y20" s="54">
        <f>+'Detailed GF version'!AA19</f>
        <v>764499.99999999977</v>
      </c>
      <c r="Z20" s="54">
        <f>+'Detailed GF version'!AB19</f>
        <v>799692.5</v>
      </c>
      <c r="AA20" s="54">
        <f>+'Detailed GF version'!AC19</f>
        <v>859669.4375</v>
      </c>
      <c r="AB20" s="237">
        <f>+'Detailed GF version'!AD19</f>
        <v>924144.64531249995</v>
      </c>
      <c r="AD20"/>
      <c r="AG20" s="57"/>
    </row>
    <row r="21" spans="1:34" ht="12" customHeight="1" x14ac:dyDescent="0.3">
      <c r="B21" s="2" t="s">
        <v>68</v>
      </c>
      <c r="C21" s="58" t="e">
        <f>+#REF!</f>
        <v>#REF!</v>
      </c>
      <c r="D21" s="58" t="e">
        <f>+#REF!</f>
        <v>#REF!</v>
      </c>
      <c r="E21" s="58" t="e">
        <f>+#REF!</f>
        <v>#REF!</v>
      </c>
      <c r="F21" s="58" t="e">
        <f>+#REF!</f>
        <v>#REF!</v>
      </c>
      <c r="G21" s="58" t="e">
        <f>+#REF!</f>
        <v>#REF!</v>
      </c>
      <c r="H21" s="59">
        <v>569190</v>
      </c>
      <c r="I21" s="58">
        <v>611335</v>
      </c>
      <c r="J21" s="281"/>
      <c r="K21" s="90">
        <f>948062+1-K19</f>
        <v>743060</v>
      </c>
      <c r="L21" s="282" t="e">
        <f>+#REF!</f>
        <v>#REF!</v>
      </c>
      <c r="M21" s="281">
        <v>920000</v>
      </c>
      <c r="N21" s="281" t="e">
        <f>-L21+M21</f>
        <v>#REF!</v>
      </c>
      <c r="O21" s="283" t="e">
        <f>+N21/L21</f>
        <v>#REF!</v>
      </c>
      <c r="P21" s="284" t="e">
        <f>+#REF!</f>
        <v>#REF!</v>
      </c>
      <c r="Q21" s="281">
        <v>607395</v>
      </c>
      <c r="R21" s="282">
        <v>616043</v>
      </c>
      <c r="S21" s="90">
        <f>565039.76-S19</f>
        <v>512539.76</v>
      </c>
      <c r="T21" s="90">
        <f>350190-1</f>
        <v>350189</v>
      </c>
      <c r="U21" s="90">
        <f>+'Detailed GF version'!U20</f>
        <v>1341608.5900000001</v>
      </c>
      <c r="V21" s="90">
        <f>+'Detailed GF version'!X20</f>
        <v>408193.65</v>
      </c>
      <c r="W21" s="331">
        <f>+'Detailed GF version'!Y20</f>
        <v>367253.75</v>
      </c>
      <c r="X21" s="60">
        <f>+'Detailed GF version'!Z20</f>
        <v>457434</v>
      </c>
      <c r="Y21" s="58">
        <f>+'Detailed GF version'!AA20</f>
        <v>453185.00000000012</v>
      </c>
      <c r="Z21" s="58">
        <f>+'Detailed GF version'!AB20</f>
        <v>457434</v>
      </c>
      <c r="AA21" s="58">
        <f>+'Detailed GF version'!AC20</f>
        <v>457434</v>
      </c>
      <c r="AB21" s="238">
        <f>+'Detailed GF version'!AD20</f>
        <v>457434</v>
      </c>
      <c r="AC21" s="164"/>
      <c r="AD21"/>
      <c r="AG21" s="57"/>
    </row>
    <row r="22" spans="1:34" ht="12" customHeight="1" x14ac:dyDescent="0.3">
      <c r="C22" s="47"/>
      <c r="D22" s="47"/>
      <c r="E22" s="47"/>
      <c r="F22" s="47"/>
      <c r="H22" s="28"/>
      <c r="L22" s="29"/>
      <c r="N22" s="30"/>
      <c r="O22" s="31"/>
      <c r="P22" s="64"/>
      <c r="R22" s="29"/>
      <c r="W22" s="332"/>
      <c r="X22" s="332"/>
      <c r="AB22" s="239"/>
      <c r="AD22"/>
      <c r="AG22" s="57"/>
    </row>
    <row r="23" spans="1:34" ht="12" customHeight="1" thickBot="1" x14ac:dyDescent="0.35">
      <c r="B23" s="2" t="s">
        <v>142</v>
      </c>
      <c r="C23" s="65" t="e">
        <f>SUM(C11:C22)</f>
        <v>#REF!</v>
      </c>
      <c r="D23" s="65" t="e">
        <f>SUM(D11:D22)</f>
        <v>#REF!</v>
      </c>
      <c r="E23" s="65" t="e">
        <f>SUM(E11:E22)</f>
        <v>#REF!</v>
      </c>
      <c r="F23" s="65" t="e">
        <f>SUM(F11:F22)</f>
        <v>#REF!</v>
      </c>
      <c r="G23" s="65" t="e">
        <f>SUM(G11:G22)</f>
        <v>#REF!</v>
      </c>
      <c r="H23" s="66">
        <f>SUM(H11:H21)</f>
        <v>49447168</v>
      </c>
      <c r="I23" s="65">
        <f>SUM(I11:I22)</f>
        <v>48808627</v>
      </c>
      <c r="J23" s="65"/>
      <c r="K23" s="65">
        <f>SUM(K11:K22)</f>
        <v>53190557.390000001</v>
      </c>
      <c r="L23" s="67" t="e">
        <f>SUM(L11:L22)</f>
        <v>#REF!</v>
      </c>
      <c r="M23" s="65">
        <f>SUM(M11:M22)</f>
        <v>51542422</v>
      </c>
      <c r="N23" s="68" t="e">
        <f>SUM(N11:N21)</f>
        <v>#REF!</v>
      </c>
      <c r="O23" s="69" t="e">
        <f>+N23/L23</f>
        <v>#REF!</v>
      </c>
      <c r="P23" s="70" t="e">
        <f>SUM(P11:P22)</f>
        <v>#REF!</v>
      </c>
      <c r="Q23" s="65">
        <v>50714830</v>
      </c>
      <c r="R23" s="67">
        <f>SUM(R11:R22)</f>
        <v>46290253</v>
      </c>
      <c r="S23" s="65">
        <f>SUM(S11:S22)</f>
        <v>48452619.669999994</v>
      </c>
      <c r="T23" s="65">
        <f>SUM(T11:T22)</f>
        <v>44319108.039999999</v>
      </c>
      <c r="U23" s="65">
        <f>SUM(U11:U22)</f>
        <v>42172762.970000006</v>
      </c>
      <c r="V23" s="65">
        <f>SUM(V11:V22)</f>
        <v>57650502.519999996</v>
      </c>
      <c r="W23" s="333">
        <f t="shared" ref="W23:AB23" si="2">SUM(W11:W22)</f>
        <v>44816243.269999996</v>
      </c>
      <c r="X23" s="67">
        <f t="shared" si="2"/>
        <v>50201802.510000005</v>
      </c>
      <c r="Y23" s="65">
        <f t="shared" si="2"/>
        <v>50901119.020000003</v>
      </c>
      <c r="Z23" s="65">
        <f t="shared" si="2"/>
        <v>51278845.50990954</v>
      </c>
      <c r="AA23" s="65">
        <f t="shared" si="2"/>
        <v>56107291.136619352</v>
      </c>
      <c r="AB23" s="240">
        <f t="shared" si="2"/>
        <v>52082247.521005303</v>
      </c>
      <c r="AC23" s="164"/>
      <c r="AD23"/>
      <c r="AE23" s="164"/>
      <c r="AG23" s="57"/>
    </row>
    <row r="24" spans="1:34" ht="12" customHeight="1" thickTop="1" x14ac:dyDescent="0.3">
      <c r="H24" s="28"/>
      <c r="L24" s="29"/>
      <c r="N24" s="30"/>
      <c r="O24" s="31"/>
      <c r="P24" s="64"/>
      <c r="Q24"/>
      <c r="R24" s="71"/>
      <c r="S24"/>
      <c r="U24" s="49"/>
      <c r="V24" s="49"/>
      <c r="W24" s="330"/>
      <c r="X24" s="191"/>
      <c r="Y24" s="164"/>
      <c r="Z24" s="164"/>
      <c r="AA24" s="164"/>
      <c r="AB24" s="237"/>
      <c r="AD24"/>
    </row>
    <row r="25" spans="1:34" ht="16.2" thickBot="1" x14ac:dyDescent="0.35">
      <c r="A25" s="35" t="s">
        <v>21</v>
      </c>
      <c r="C25" s="72">
        <v>0.255</v>
      </c>
      <c r="D25" s="72">
        <v>0.255</v>
      </c>
      <c r="E25" s="72">
        <v>0.24199999999999999</v>
      </c>
      <c r="F25" s="72">
        <v>0.254</v>
      </c>
      <c r="G25" s="72">
        <v>0.25900000000000001</v>
      </c>
      <c r="H25" s="73">
        <v>0.26400000000000001</v>
      </c>
      <c r="I25" s="72">
        <v>0.26400000000000001</v>
      </c>
      <c r="J25" s="72"/>
      <c r="K25" s="72">
        <v>0.26400000000000001</v>
      </c>
      <c r="L25" s="74">
        <v>0.26400000000000001</v>
      </c>
      <c r="M25" s="72">
        <v>0.26400000000000001</v>
      </c>
      <c r="N25" s="75"/>
      <c r="O25" s="76"/>
      <c r="P25" s="77">
        <v>0.26400000000000001</v>
      </c>
      <c r="Q25" s="72">
        <v>0.26400000000000001</v>
      </c>
      <c r="R25" s="74">
        <v>0.26500000000000001</v>
      </c>
      <c r="S25" s="72">
        <v>0.26500000000000001</v>
      </c>
      <c r="T25" s="72">
        <v>0.26500000000000001</v>
      </c>
      <c r="U25" s="72">
        <v>0.26500000000000001</v>
      </c>
      <c r="V25" s="72">
        <v>0.26500000000000001</v>
      </c>
      <c r="W25" s="335">
        <f>+U25</f>
        <v>0.26500000000000001</v>
      </c>
      <c r="X25" s="74">
        <f>+W25</f>
        <v>0.26500000000000001</v>
      </c>
      <c r="Y25" s="72">
        <f>+X25</f>
        <v>0.26500000000000001</v>
      </c>
      <c r="Z25" s="72">
        <f>+X25</f>
        <v>0.26500000000000001</v>
      </c>
      <c r="AA25" s="72">
        <f>+X25</f>
        <v>0.26500000000000001</v>
      </c>
      <c r="AB25" s="241">
        <f>+Y25</f>
        <v>0.26500000000000001</v>
      </c>
      <c r="AD25"/>
    </row>
    <row r="26" spans="1:34" ht="12" customHeight="1" thickTop="1" x14ac:dyDescent="0.3">
      <c r="H26" s="28"/>
      <c r="L26" s="29"/>
      <c r="N26" s="30"/>
      <c r="O26" s="31"/>
      <c r="P26" s="64"/>
      <c r="Q26"/>
      <c r="R26" s="29"/>
      <c r="W26" s="332"/>
      <c r="X26" s="332"/>
      <c r="AB26" s="239"/>
      <c r="AD26"/>
      <c r="AF26" s="79"/>
      <c r="AG26" s="79"/>
      <c r="AH26" s="79"/>
    </row>
    <row r="27" spans="1:34" ht="15.6" x14ac:dyDescent="0.3">
      <c r="A27" s="35" t="s">
        <v>140</v>
      </c>
      <c r="H27" s="28"/>
      <c r="I27"/>
      <c r="J27"/>
      <c r="K27"/>
      <c r="L27"/>
      <c r="M27"/>
      <c r="N27"/>
      <c r="O27"/>
      <c r="P27"/>
      <c r="Q27"/>
      <c r="R27"/>
      <c r="S27"/>
      <c r="U27" s="87"/>
      <c r="V27" s="87"/>
      <c r="W27" s="71"/>
      <c r="X27" s="71"/>
      <c r="Y27"/>
      <c r="Z27"/>
      <c r="AA27"/>
      <c r="AB27" s="202"/>
      <c r="AC27" s="29"/>
      <c r="AD27"/>
      <c r="AE27" s="85"/>
      <c r="AF27" s="85"/>
      <c r="AG27" s="85"/>
    </row>
    <row r="28" spans="1:34" ht="12" customHeight="1" x14ac:dyDescent="0.3">
      <c r="B28" s="2" t="s">
        <v>133</v>
      </c>
      <c r="C28" s="40">
        <f>-70260.9600000008+C142</f>
        <v>264618.0199999992</v>
      </c>
      <c r="D28" s="40">
        <f>355218+D142</f>
        <v>1024975</v>
      </c>
      <c r="E28" s="40">
        <v>1544398.249090909</v>
      </c>
      <c r="F28" s="40">
        <f>630008+F142</f>
        <v>1119673.9090909092</v>
      </c>
      <c r="G28" s="80">
        <f>472095+G142</f>
        <v>841510.90909090906</v>
      </c>
      <c r="H28" s="81">
        <f>1179979+H142</f>
        <v>1540144.9090909092</v>
      </c>
      <c r="I28" s="82">
        <f>10185811+I142</f>
        <v>10545976.909090908</v>
      </c>
      <c r="J28" s="39" t="e">
        <f>I28/#REF!</f>
        <v>#REF!</v>
      </c>
      <c r="K28" s="82">
        <f>11528051+K142</f>
        <v>11888217</v>
      </c>
      <c r="L28" s="83">
        <f>242273+L142</f>
        <v>602439</v>
      </c>
      <c r="M28" s="82">
        <v>592933</v>
      </c>
      <c r="N28" s="44">
        <f>-L28+M28</f>
        <v>-9506</v>
      </c>
      <c r="O28" s="45">
        <f>+N28/L28</f>
        <v>-1.577919092223445E-2</v>
      </c>
      <c r="P28" s="84">
        <f>232767+P142</f>
        <v>592933</v>
      </c>
      <c r="Q28" s="80">
        <v>1257246.5</v>
      </c>
      <c r="R28" s="83">
        <v>149809</v>
      </c>
      <c r="S28" s="82">
        <f>10443403+S142+1</f>
        <v>10707688</v>
      </c>
      <c r="T28" s="82">
        <f>8025819+T77</f>
        <v>10541190</v>
      </c>
      <c r="U28" s="82">
        <f>6270838.05+U77</f>
        <v>8586030.0700000003</v>
      </c>
      <c r="V28" s="82">
        <f>6078149.5+V77</f>
        <v>8550560.5999999996</v>
      </c>
      <c r="W28" s="328">
        <f>6601699+W77</f>
        <v>9077842</v>
      </c>
      <c r="X28" s="83">
        <f>+'Detailed GF version'!Z10-'Detailed GF version'!Z27</f>
        <v>8704970.9725442715</v>
      </c>
      <c r="Y28" s="80">
        <f>+Y11-'Detailed GF version'!AA27</f>
        <v>8752994.622695161</v>
      </c>
      <c r="Z28" s="80">
        <f>+Z11-'Detailed GF version'!AB27</f>
        <v>8963780.1442999989</v>
      </c>
      <c r="AA28" s="80">
        <f>+AA11-'Detailed GF version'!AC27</f>
        <v>9177093.9371780008</v>
      </c>
      <c r="AB28" s="236">
        <f>+AB11-'Detailed GF version'!AD27</f>
        <v>9375860.3650899343</v>
      </c>
      <c r="AD28"/>
      <c r="AE28" s="85"/>
      <c r="AF28" s="85"/>
      <c r="AG28" s="85"/>
    </row>
    <row r="29" spans="1:34" ht="12" customHeight="1" x14ac:dyDescent="0.3">
      <c r="B29" s="2" t="s">
        <v>103</v>
      </c>
      <c r="C29" s="47">
        <v>834204.54000000097</v>
      </c>
      <c r="D29" s="47">
        <v>1115900</v>
      </c>
      <c r="E29" s="47">
        <v>946173.69999999972</v>
      </c>
      <c r="F29" s="47">
        <v>747678</v>
      </c>
      <c r="G29" s="85">
        <v>45871</v>
      </c>
      <c r="H29" s="86">
        <v>730765</v>
      </c>
      <c r="I29" s="87">
        <f>6169541+I78</f>
        <v>8652273</v>
      </c>
      <c r="J29" s="39">
        <v>0.21708432304588862</v>
      </c>
      <c r="K29" s="87">
        <f>6331756.35+K78</f>
        <v>8676121.3499999996</v>
      </c>
      <c r="L29" s="88">
        <v>752712</v>
      </c>
      <c r="M29" s="87">
        <v>502712</v>
      </c>
      <c r="N29" s="51">
        <v>-250000</v>
      </c>
      <c r="O29" s="45">
        <v>-0.33213234278183423</v>
      </c>
      <c r="P29" s="89">
        <v>502712</v>
      </c>
      <c r="Q29" s="85">
        <v>693000</v>
      </c>
      <c r="R29" s="88">
        <v>781482</v>
      </c>
      <c r="S29" s="87">
        <f>6779951.71+S78</f>
        <v>9283003.75</v>
      </c>
      <c r="T29" s="87">
        <f>3031718+T78</f>
        <v>3787278</v>
      </c>
      <c r="U29" s="87">
        <f>912785.12+U78</f>
        <v>1574043.51</v>
      </c>
      <c r="V29" s="87">
        <f>4404694.97+V78</f>
        <v>5801815.7199999997</v>
      </c>
      <c r="W29" s="336">
        <f>4637723+W78</f>
        <v>6504548</v>
      </c>
      <c r="X29" s="88">
        <f>+'Detailed GF version'!Z11-'Detailed GF version'!Z28</f>
        <v>7479686.9400276458</v>
      </c>
      <c r="Y29" s="87">
        <f>+Y12-'Detailed GF version'!AA28</f>
        <v>6958025.0455949828</v>
      </c>
      <c r="Z29" s="87">
        <f>+Z12-'Detailed GF version'!AB28</f>
        <v>7582036.2006000001</v>
      </c>
      <c r="AA29" s="87">
        <f>+AA12-'Detailed GF version'!AC28</f>
        <v>7863830.7579370011</v>
      </c>
      <c r="AB29" s="236">
        <f>+AB12-'Detailed GF version'!AD28</f>
        <v>5431629.92950116</v>
      </c>
      <c r="AD29"/>
    </row>
    <row r="30" spans="1:34" ht="12" customHeight="1" x14ac:dyDescent="0.3">
      <c r="B30" s="2" t="s">
        <v>104</v>
      </c>
      <c r="C30" s="47">
        <v>5622923.3099999996</v>
      </c>
      <c r="D30" s="47">
        <v>5456303</v>
      </c>
      <c r="E30" s="47">
        <v>5371098.0899999999</v>
      </c>
      <c r="F30" s="47">
        <v>5327140</v>
      </c>
      <c r="G30" s="85">
        <v>5422789</v>
      </c>
      <c r="H30" s="86">
        <v>5448000</v>
      </c>
      <c r="I30" s="87">
        <v>98598</v>
      </c>
      <c r="J30" s="39">
        <v>5.2226936294553139E-3</v>
      </c>
      <c r="K30" s="87">
        <v>97060.269999999553</v>
      </c>
      <c r="L30" s="88">
        <v>5264600</v>
      </c>
      <c r="M30" s="87">
        <v>5252600</v>
      </c>
      <c r="N30" s="51">
        <v>-12000</v>
      </c>
      <c r="O30" s="45">
        <v>-2.2793754511263912E-3</v>
      </c>
      <c r="P30" s="89">
        <v>5252600</v>
      </c>
      <c r="Q30" s="85">
        <v>5559800</v>
      </c>
      <c r="R30" s="88">
        <v>5291800</v>
      </c>
      <c r="S30" s="87">
        <v>101716</v>
      </c>
      <c r="T30" s="87">
        <v>92845</v>
      </c>
      <c r="U30" s="87">
        <v>101907.61</v>
      </c>
      <c r="V30" s="87">
        <v>114449.13999999998</v>
      </c>
      <c r="W30" s="336">
        <v>105000</v>
      </c>
      <c r="X30" s="88">
        <f>+'Detailed GF version'!Z12-'Detailed GF version'!Z29</f>
        <v>105000</v>
      </c>
      <c r="Y30" s="49">
        <v>105000</v>
      </c>
      <c r="Z30" s="49">
        <v>110000</v>
      </c>
      <c r="AA30" s="49">
        <v>110000</v>
      </c>
      <c r="AB30" s="236">
        <v>110000</v>
      </c>
      <c r="AC30" s="164"/>
      <c r="AD30"/>
    </row>
    <row r="31" spans="1:34" ht="12" customHeight="1" x14ac:dyDescent="0.25">
      <c r="B31" s="2" t="s">
        <v>105</v>
      </c>
      <c r="C31" s="47"/>
      <c r="D31" s="47"/>
      <c r="E31" s="47"/>
      <c r="F31" s="47"/>
      <c r="G31" s="85"/>
      <c r="H31" s="86"/>
      <c r="I31" s="87">
        <f>+Divisions!C35</f>
        <v>14216324.885000002</v>
      </c>
      <c r="J31" s="39"/>
      <c r="K31" s="87">
        <f>+Divisions!D35</f>
        <v>15561801.27</v>
      </c>
      <c r="L31" s="88"/>
      <c r="M31" s="87"/>
      <c r="N31" s="51"/>
      <c r="O31" s="45"/>
      <c r="P31" s="89"/>
      <c r="Q31" s="85"/>
      <c r="R31" s="88"/>
      <c r="S31" s="87">
        <f>+Divisions!E35+176324</f>
        <v>14327387.120000001</v>
      </c>
      <c r="T31" s="87">
        <f>+Divisions!F35</f>
        <v>14306053.819999998</v>
      </c>
      <c r="U31" s="87">
        <f>+Divisions!G35</f>
        <v>8952247.8099999987</v>
      </c>
      <c r="V31" s="87">
        <f>+Divisions!H35</f>
        <v>11742915.17</v>
      </c>
      <c r="W31" s="336">
        <f>+Divisions!I35</f>
        <v>13398223</v>
      </c>
      <c r="X31" s="88">
        <f>+Divisions!J35</f>
        <v>11616054.651698658</v>
      </c>
      <c r="Y31" s="87">
        <f>+Divisions!K35</f>
        <v>14024134.183979448</v>
      </c>
      <c r="Z31" s="87">
        <f>+Divisions!L35</f>
        <v>12511914.947757499</v>
      </c>
      <c r="AA31" s="49">
        <f>+Divisions!M35</f>
        <v>14564018.175396075</v>
      </c>
      <c r="AB31" s="236">
        <f>+Divisions!N35</f>
        <v>12955466.655787956</v>
      </c>
      <c r="AC31" s="164"/>
      <c r="AD31" s="440"/>
    </row>
    <row r="32" spans="1:34" ht="12" customHeight="1" x14ac:dyDescent="0.3">
      <c r="B32" s="2" t="s">
        <v>106</v>
      </c>
      <c r="C32" s="47"/>
      <c r="D32" s="47"/>
      <c r="E32" s="47"/>
      <c r="F32" s="47"/>
      <c r="G32" s="85"/>
      <c r="H32" s="86"/>
      <c r="I32" s="87">
        <v>268338</v>
      </c>
      <c r="J32" s="39"/>
      <c r="K32" s="87">
        <v>224288</v>
      </c>
      <c r="L32" s="88"/>
      <c r="M32" s="87"/>
      <c r="N32" s="51"/>
      <c r="O32" s="45"/>
      <c r="P32" s="89"/>
      <c r="Q32" s="85"/>
      <c r="R32" s="88"/>
      <c r="S32" s="87">
        <v>511723.51</v>
      </c>
      <c r="T32" s="87">
        <f>237906-1</f>
        <v>237905</v>
      </c>
      <c r="U32" s="87">
        <v>265234.01999999996</v>
      </c>
      <c r="V32" s="87">
        <v>344391.88000000012</v>
      </c>
      <c r="W32" s="336">
        <v>461659</v>
      </c>
      <c r="X32" s="88">
        <v>479323</v>
      </c>
      <c r="Y32" s="87">
        <f>473375.60558399-123</f>
        <v>473252.60558398999</v>
      </c>
      <c r="Z32" s="87">
        <f>+Y32</f>
        <v>473252.60558398999</v>
      </c>
      <c r="AA32" s="49">
        <f>+Y32</f>
        <v>473252.60558398999</v>
      </c>
      <c r="AB32" s="236">
        <f>+Z32</f>
        <v>473252.60558398999</v>
      </c>
      <c r="AC32" s="164"/>
      <c r="AD32"/>
    </row>
    <row r="33" spans="2:30" ht="12" customHeight="1" x14ac:dyDescent="0.3">
      <c r="B33" s="2" t="s">
        <v>107</v>
      </c>
      <c r="C33" s="47"/>
      <c r="D33" s="47"/>
      <c r="E33" s="47"/>
      <c r="F33" s="47"/>
      <c r="G33" s="85"/>
      <c r="H33" s="86"/>
      <c r="I33" s="87">
        <v>6245378.6600000001</v>
      </c>
      <c r="J33" s="105"/>
      <c r="K33" s="87">
        <v>7029532</v>
      </c>
      <c r="L33" s="88"/>
      <c r="M33" s="87"/>
      <c r="N33" s="49"/>
      <c r="O33" s="299"/>
      <c r="P33" s="89"/>
      <c r="Q33" s="85"/>
      <c r="R33" s="88"/>
      <c r="S33" s="87">
        <v>6915680</v>
      </c>
      <c r="T33" s="87">
        <v>5603774</v>
      </c>
      <c r="U33" s="87">
        <v>6607727.9800000004</v>
      </c>
      <c r="V33" s="87">
        <v>6606683.1400000015</v>
      </c>
      <c r="W33" s="336">
        <v>4310179</v>
      </c>
      <c r="X33" s="88">
        <f>+X16</f>
        <v>8749802.9499999993</v>
      </c>
      <c r="Y33" s="87">
        <f>+Y16</f>
        <v>7333856.0200000033</v>
      </c>
      <c r="Z33" s="87">
        <f>+Z16</f>
        <v>5970397.6234295387</v>
      </c>
      <c r="AA33" s="49">
        <f>+AA16</f>
        <v>6198821.0076010153</v>
      </c>
      <c r="AB33" s="236">
        <f>+AB16</f>
        <v>6438665.5609810669</v>
      </c>
      <c r="AC33" s="164"/>
      <c r="AD33"/>
    </row>
    <row r="34" spans="2:30" ht="12" customHeight="1" x14ac:dyDescent="0.3">
      <c r="B34" s="2" t="s">
        <v>149</v>
      </c>
      <c r="C34" s="47">
        <v>751945.03</v>
      </c>
      <c r="D34" s="47">
        <v>698959</v>
      </c>
      <c r="E34" s="47">
        <v>703566.66</v>
      </c>
      <c r="F34" s="47">
        <v>1087785</v>
      </c>
      <c r="G34" s="85">
        <v>1168625</v>
      </c>
      <c r="H34" s="86">
        <v>1350000</v>
      </c>
      <c r="I34" s="87">
        <v>1213521</v>
      </c>
      <c r="J34" s="39">
        <v>2.5575146652447527E-2</v>
      </c>
      <c r="K34" s="87">
        <v>1163928</v>
      </c>
      <c r="L34" s="88">
        <v>1200000</v>
      </c>
      <c r="M34" s="87">
        <v>1125000</v>
      </c>
      <c r="N34" s="49">
        <v>-75000</v>
      </c>
      <c r="O34" s="299">
        <v>-6.25E-2</v>
      </c>
      <c r="P34" s="89">
        <v>1125000</v>
      </c>
      <c r="Q34" s="85">
        <v>1200000</v>
      </c>
      <c r="R34" s="88">
        <v>1200000</v>
      </c>
      <c r="S34" s="87">
        <v>1431915</v>
      </c>
      <c r="T34" s="87">
        <f>1200045</f>
        <v>1200045</v>
      </c>
      <c r="U34" s="87">
        <v>1102968.8799999999</v>
      </c>
      <c r="V34" s="87">
        <v>1180629.22</v>
      </c>
      <c r="W34" s="336">
        <v>1861432</v>
      </c>
      <c r="X34" s="88">
        <v>2455146.0103485002</v>
      </c>
      <c r="Y34" s="87">
        <v>374290.47921232611</v>
      </c>
      <c r="Z34" s="87">
        <f>+Y34</f>
        <v>374290.47921232611</v>
      </c>
      <c r="AA34" s="49">
        <f>+Y34</f>
        <v>374290.47921232611</v>
      </c>
      <c r="AB34" s="236">
        <f>+Z34</f>
        <v>374290.47921232611</v>
      </c>
      <c r="AC34" s="411" t="s">
        <v>2</v>
      </c>
      <c r="AD34"/>
    </row>
    <row r="35" spans="2:30" ht="12" customHeight="1" x14ac:dyDescent="0.3">
      <c r="B35" s="2" t="s">
        <v>134</v>
      </c>
      <c r="C35" s="47"/>
      <c r="D35" s="47"/>
      <c r="E35" s="47"/>
      <c r="F35" s="47"/>
      <c r="G35" s="85"/>
      <c r="H35" s="87"/>
      <c r="I35" s="87"/>
      <c r="J35" s="39"/>
      <c r="K35" s="87"/>
      <c r="L35" s="87"/>
      <c r="M35" s="87"/>
      <c r="N35" s="49"/>
      <c r="O35" s="108"/>
      <c r="P35" s="87"/>
      <c r="Q35" s="87"/>
      <c r="R35" s="87"/>
      <c r="S35" s="87"/>
      <c r="T35" s="87"/>
      <c r="U35" s="87">
        <v>1760</v>
      </c>
      <c r="V35" s="87">
        <f>173016.3+V79</f>
        <v>299164.96999999997</v>
      </c>
      <c r="W35" s="336">
        <v>710625</v>
      </c>
      <c r="X35" s="88">
        <f>+'Detailed GF version'!Z19-'Detailed GF version'!Z33</f>
        <v>653528.94158856163</v>
      </c>
      <c r="Y35" s="49">
        <f>+Y20-'Detailed GF version'!AA33</f>
        <v>669014.96607746731</v>
      </c>
      <c r="Z35" s="49">
        <f>+Z20-'Detailed GF version'!AB33</f>
        <v>716698.43842200004</v>
      </c>
      <c r="AA35" s="49">
        <f>+AA20-'Detailed GF version'!AC33</f>
        <v>739179.84366222005</v>
      </c>
      <c r="AB35" s="236">
        <f>+AB20-'Detailed GF version'!AD33</f>
        <v>762947.10115346231</v>
      </c>
      <c r="AD35"/>
    </row>
    <row r="36" spans="2:30" ht="12" customHeight="1" x14ac:dyDescent="0.3">
      <c r="B36" s="2" t="s">
        <v>143</v>
      </c>
      <c r="C36" s="47"/>
      <c r="D36" s="47"/>
      <c r="E36" s="47"/>
      <c r="F36" s="47"/>
      <c r="G36" s="85"/>
      <c r="H36" s="87"/>
      <c r="I36" s="87">
        <f>-'Detailed GF version'!I57</f>
        <v>-7473001.46</v>
      </c>
      <c r="J36" s="39"/>
      <c r="K36" s="87">
        <f>-'Detailed GF version'!K57</f>
        <v>-8301335.7800000003</v>
      </c>
      <c r="L36" s="88"/>
      <c r="M36" s="87"/>
      <c r="N36" s="49"/>
      <c r="O36" s="299"/>
      <c r="P36" s="89"/>
      <c r="Q36" s="87"/>
      <c r="R36" s="88"/>
      <c r="S36" s="87">
        <f>-'Detailed GF version'!S57</f>
        <v>-7534707.5700000003</v>
      </c>
      <c r="T36" s="87">
        <f>-'Detailed GF version'!T57</f>
        <v>-5894950.5700000003</v>
      </c>
      <c r="U36" s="87">
        <f>-'Detailed GF version'!U57</f>
        <v>-4597824.3499999996</v>
      </c>
      <c r="V36" s="87">
        <f>-'Detailed GF version'!X57</f>
        <v>-6321148.4299999997</v>
      </c>
      <c r="W36" s="336">
        <f>-'Detailed GF version'!Y57</f>
        <v>-6772893.0750000002</v>
      </c>
      <c r="X36" s="88">
        <f>-'Detailed GF version'!Z57</f>
        <v>-6805189.6799999997</v>
      </c>
      <c r="Y36" s="49">
        <f>-'Detailed GF version'!AA57</f>
        <v>-6846774.0000000028</v>
      </c>
      <c r="Z36" s="49">
        <f>-'Detailed GF version'!AB57</f>
        <v>-6858574.5774847493</v>
      </c>
      <c r="AA36" s="49">
        <f>-'Detailed GF version'!AC57</f>
        <v>-7787312.0129611921</v>
      </c>
      <c r="AB36" s="236">
        <f>-'Detailed GF version'!AD57</f>
        <v>-6591879.3399135107</v>
      </c>
      <c r="AD36"/>
    </row>
    <row r="37" spans="2:30" ht="12" customHeight="1" x14ac:dyDescent="0.3">
      <c r="B37" s="2" t="s">
        <v>136</v>
      </c>
      <c r="C37" s="47"/>
      <c r="D37" s="47"/>
      <c r="E37" s="47"/>
      <c r="F37" s="47"/>
      <c r="G37" s="85"/>
      <c r="H37" s="87"/>
      <c r="I37" s="90">
        <f>+'Detailed GF version'!I94-303</f>
        <v>17179138</v>
      </c>
      <c r="J37" s="91"/>
      <c r="K37" s="90">
        <f>+'Detailed GF version'!K94-2</f>
        <v>17060913.300000001</v>
      </c>
      <c r="L37" s="92"/>
      <c r="M37" s="90"/>
      <c r="N37" s="58"/>
      <c r="O37" s="357"/>
      <c r="P37" s="93"/>
      <c r="Q37" s="90"/>
      <c r="R37" s="92"/>
      <c r="S37" s="90">
        <f>+'Detailed GF version'!S94</f>
        <v>18574630</v>
      </c>
      <c r="T37" s="90">
        <f>+'Detailed GF version'!T94</f>
        <v>19582986.509999998</v>
      </c>
      <c r="U37" s="90">
        <f>+'Detailed GF version'!U94</f>
        <v>20018897.630000003</v>
      </c>
      <c r="V37" s="90">
        <f>+'Detailed GF version'!X94</f>
        <v>21431034.289999999</v>
      </c>
      <c r="W37" s="340">
        <f>+'Detailed GF version'!Y94</f>
        <v>18552209</v>
      </c>
      <c r="X37" s="92">
        <f>+'Detailed GF version'!Z94</f>
        <v>18381684.736564763</v>
      </c>
      <c r="Y37" s="90">
        <f>+'Detailed GF version'!AA94</f>
        <v>18814540.507546049</v>
      </c>
      <c r="Z37" s="90">
        <f>+'Detailed GF version'!AB94</f>
        <v>19703118.750681907</v>
      </c>
      <c r="AA37" s="58">
        <f>+'Detailed GF version'!AC94</f>
        <v>19768785.31161128</v>
      </c>
      <c r="AB37" s="238">
        <f>+'Detailed GF version'!AD94</f>
        <v>19840022.170180317</v>
      </c>
      <c r="AD37"/>
    </row>
    <row r="38" spans="2:30" ht="12" customHeight="1" x14ac:dyDescent="0.25">
      <c r="C38" s="49"/>
      <c r="D38" s="49"/>
      <c r="E38" s="49"/>
      <c r="F38" s="49"/>
      <c r="G38" s="87"/>
      <c r="H38" s="87"/>
      <c r="I38" s="87"/>
      <c r="J38" s="39"/>
      <c r="K38" s="87"/>
      <c r="L38" s="88"/>
      <c r="M38" s="87"/>
      <c r="N38" s="94"/>
      <c r="O38" s="95"/>
      <c r="P38" s="89"/>
      <c r="Q38" s="87"/>
      <c r="R38" s="88"/>
      <c r="S38" s="87"/>
      <c r="T38" s="87"/>
      <c r="U38" s="87"/>
      <c r="V38" s="87"/>
      <c r="W38" s="336"/>
      <c r="X38" s="336"/>
      <c r="Y38" s="87"/>
      <c r="Z38" s="87"/>
      <c r="AA38" s="87"/>
      <c r="AB38" s="242"/>
      <c r="AD38" s="54"/>
    </row>
    <row r="39" spans="2:30" ht="12" customHeight="1" x14ac:dyDescent="0.25">
      <c r="B39" s="2" t="s">
        <v>151</v>
      </c>
      <c r="C39" s="96">
        <f>SUM(C28:C38)</f>
        <v>7473690.8999999994</v>
      </c>
      <c r="D39" s="96">
        <f>SUM(D28:D38)</f>
        <v>8296137</v>
      </c>
      <c r="E39" s="96">
        <f>SUM(E28:E38)+1</f>
        <v>8565237.6990909092</v>
      </c>
      <c r="F39" s="96">
        <f>SUM(F28:F38)+1</f>
        <v>8282277.9090909092</v>
      </c>
      <c r="G39" s="97">
        <f>SUM(G28:G38)</f>
        <v>7478795.9090909092</v>
      </c>
      <c r="H39" s="96">
        <f>SUM(H28:H35)</f>
        <v>9068909.9090909101</v>
      </c>
      <c r="I39" s="97">
        <f>SUM(I28:I38)</f>
        <v>50946546.994090907</v>
      </c>
      <c r="J39" s="98" t="e">
        <f>I39/#REF!</f>
        <v>#REF!</v>
      </c>
      <c r="K39" s="97">
        <f>SUM(K28:K38)</f>
        <v>53400525.409999996</v>
      </c>
      <c r="L39" s="99">
        <f>SUM(L28:L38)</f>
        <v>7819751</v>
      </c>
      <c r="M39" s="97">
        <f>SUM(M28:M38)</f>
        <v>7473245</v>
      </c>
      <c r="N39" s="100">
        <f>SUM(N28:N35)</f>
        <v>-346506</v>
      </c>
      <c r="O39" s="101">
        <f>+N39/L39</f>
        <v>-4.4311641125145802E-2</v>
      </c>
      <c r="P39" s="102">
        <f>SUM(P28:P38)</f>
        <v>7473245</v>
      </c>
      <c r="Q39" s="97">
        <v>9317441.5</v>
      </c>
      <c r="R39" s="99">
        <f>SUM(R28:R35)</f>
        <v>7423091</v>
      </c>
      <c r="S39" s="97">
        <f>SUM(S28:S38)</f>
        <v>54319035.810000002</v>
      </c>
      <c r="T39" s="97">
        <f>SUM(T28:T38)</f>
        <v>49457126.759999998</v>
      </c>
      <c r="U39" s="97">
        <f>SUM(U28:U38)</f>
        <v>42612993.160000004</v>
      </c>
      <c r="V39" s="97">
        <f>SUM(V28:V38)</f>
        <v>49750495.700000003</v>
      </c>
      <c r="W39" s="337">
        <f t="shared" ref="W39:AB39" si="3">SUM(W28:W38)</f>
        <v>48208823.924999997</v>
      </c>
      <c r="X39" s="99">
        <f t="shared" si="3"/>
        <v>51820008.522772394</v>
      </c>
      <c r="Y39" s="97">
        <f t="shared" si="3"/>
        <v>50658334.430689424</v>
      </c>
      <c r="Z39" s="97">
        <f t="shared" si="3"/>
        <v>49546914.612502515</v>
      </c>
      <c r="AA39" s="97">
        <f t="shared" si="3"/>
        <v>51481960.105220713</v>
      </c>
      <c r="AB39" s="244">
        <f t="shared" si="3"/>
        <v>49170255.5275767</v>
      </c>
      <c r="AD39" s="79"/>
    </row>
    <row r="40" spans="2:30" ht="13.35" hidden="1" customHeight="1" x14ac:dyDescent="0.25">
      <c r="B40" s="103" t="s">
        <v>28</v>
      </c>
      <c r="C40" s="47"/>
      <c r="D40" s="47">
        <f>D39/C39-1</f>
        <v>0.11004550643109967</v>
      </c>
      <c r="E40" s="47">
        <f>E39/D39-1</f>
        <v>3.2436867796530988E-2</v>
      </c>
      <c r="F40" s="47">
        <f>F39/E39-1</f>
        <v>-3.3035836241886551E-2</v>
      </c>
      <c r="G40" s="87" t="e">
        <f>G39/#REF!-1</f>
        <v>#REF!</v>
      </c>
      <c r="H40" s="87"/>
      <c r="I40" s="104">
        <f>I39/G39-1</f>
        <v>5.8121322754860083</v>
      </c>
      <c r="J40" s="105"/>
      <c r="K40" s="104"/>
      <c r="L40" s="88" t="e">
        <f>L39/#REF!-1</f>
        <v>#REF!</v>
      </c>
      <c r="M40" s="104"/>
      <c r="N40" s="94"/>
      <c r="O40" s="95"/>
      <c r="P40" s="89" t="e">
        <f>P39/#REF!-1</f>
        <v>#REF!</v>
      </c>
      <c r="Q40" s="85">
        <v>3.045676518907614E-2</v>
      </c>
      <c r="R40" s="88"/>
      <c r="S40" s="87"/>
      <c r="T40" s="104" t="e">
        <f>T39/#REF!-1</f>
        <v>#REF!</v>
      </c>
      <c r="U40" s="104" t="e">
        <f>U39/#REF!-1</f>
        <v>#REF!</v>
      </c>
      <c r="V40" s="104" t="e">
        <v>#REF!</v>
      </c>
      <c r="W40" s="356" t="e">
        <f>W39/#REF!-1</f>
        <v>#REF!</v>
      </c>
      <c r="X40" s="356" t="e">
        <f>X39/#REF!-1</f>
        <v>#REF!</v>
      </c>
      <c r="Y40" s="104" t="e">
        <f>Y39/#REF!-1</f>
        <v>#REF!</v>
      </c>
      <c r="Z40" s="104">
        <f>Z39/R39-1</f>
        <v>5.6747012278985283</v>
      </c>
      <c r="AA40" s="104">
        <f>AA39/T39-1</f>
        <v>4.0941184372610184E-2</v>
      </c>
      <c r="AB40" s="245">
        <f>AB39/U39-1</f>
        <v>0.15387941285785756</v>
      </c>
    </row>
    <row r="41" spans="2:30" ht="13.35" hidden="1" customHeight="1" x14ac:dyDescent="0.25">
      <c r="C41" s="47"/>
      <c r="D41" s="47"/>
      <c r="E41" s="47"/>
      <c r="F41" s="47"/>
      <c r="G41" s="87"/>
      <c r="H41" s="87"/>
      <c r="I41" s="104"/>
      <c r="J41" s="105"/>
      <c r="K41" s="104"/>
      <c r="L41" s="88"/>
      <c r="M41" s="104"/>
      <c r="N41" s="94"/>
      <c r="O41" s="95"/>
      <c r="P41" s="89"/>
      <c r="Q41" s="85"/>
      <c r="R41" s="88"/>
      <c r="S41" s="87"/>
      <c r="T41" s="104"/>
      <c r="U41" s="104"/>
      <c r="V41" s="104"/>
      <c r="W41" s="356"/>
      <c r="X41" s="356"/>
      <c r="Y41" s="104"/>
      <c r="Z41" s="104"/>
      <c r="AA41" s="104"/>
      <c r="AB41" s="245"/>
    </row>
    <row r="42" spans="2:30" ht="13.35" hidden="1" customHeight="1" x14ac:dyDescent="0.25">
      <c r="B42" s="2" t="s">
        <v>29</v>
      </c>
      <c r="C42" s="47">
        <v>2145821.02</v>
      </c>
      <c r="D42" s="47">
        <v>2162565.1399999997</v>
      </c>
      <c r="E42" s="47">
        <v>2097865.7400000002</v>
      </c>
      <c r="F42" s="47" t="e">
        <v>#REF!</v>
      </c>
      <c r="G42" s="87" t="e">
        <f>#REF!</f>
        <v>#REF!</v>
      </c>
      <c r="H42" s="87"/>
      <c r="I42" s="104" t="e">
        <f>#REF!</f>
        <v>#REF!</v>
      </c>
      <c r="J42" s="105"/>
      <c r="K42" s="104"/>
      <c r="L42" s="88" t="e">
        <f>#REF!</f>
        <v>#REF!</v>
      </c>
      <c r="M42" s="104"/>
      <c r="N42" s="94"/>
      <c r="O42" s="95"/>
      <c r="P42" s="89" t="e">
        <f>#REF!</f>
        <v>#REF!</v>
      </c>
      <c r="Q42" s="85" t="e">
        <v>#REF!</v>
      </c>
      <c r="R42" s="88"/>
      <c r="S42" s="87"/>
      <c r="T42" s="104" t="e">
        <f>#REF!</f>
        <v>#REF!</v>
      </c>
      <c r="U42" s="104" t="e">
        <f>#REF!</f>
        <v>#REF!</v>
      </c>
      <c r="V42" s="104" t="e">
        <v>#REF!</v>
      </c>
      <c r="W42" s="356" t="e">
        <f>#REF!</f>
        <v>#REF!</v>
      </c>
      <c r="X42" s="356" t="e">
        <f>#REF!</f>
        <v>#REF!</v>
      </c>
      <c r="Y42" s="104" t="e">
        <f>#REF!</f>
        <v>#REF!</v>
      </c>
      <c r="Z42" s="104" t="e">
        <f>#REF!</f>
        <v>#REF!</v>
      </c>
      <c r="AA42" s="104" t="e">
        <f>#REF!</f>
        <v>#REF!</v>
      </c>
      <c r="AB42" s="245" t="e">
        <f>#REF!</f>
        <v>#REF!</v>
      </c>
    </row>
    <row r="43" spans="2:30" ht="13.35" hidden="1" customHeight="1" x14ac:dyDescent="0.25">
      <c r="B43" s="2" t="s">
        <v>30</v>
      </c>
      <c r="C43" s="47">
        <v>2029080.0199999986</v>
      </c>
      <c r="D43" s="47">
        <v>1793937.2150000003</v>
      </c>
      <c r="E43" s="47">
        <v>1737821.879999999</v>
      </c>
      <c r="F43" s="47" t="e">
        <v>#REF!</v>
      </c>
      <c r="G43" s="87" t="e">
        <f>#REF!</f>
        <v>#REF!</v>
      </c>
      <c r="H43" s="87"/>
      <c r="I43" s="104" t="e">
        <f>#REF!</f>
        <v>#REF!</v>
      </c>
      <c r="J43" s="105"/>
      <c r="K43" s="104"/>
      <c r="L43" s="88" t="e">
        <f>#REF!</f>
        <v>#REF!</v>
      </c>
      <c r="M43" s="104"/>
      <c r="N43" s="94"/>
      <c r="O43" s="95"/>
      <c r="P43" s="89" t="e">
        <f>#REF!</f>
        <v>#REF!</v>
      </c>
      <c r="Q43" s="85" t="e">
        <v>#REF!</v>
      </c>
      <c r="R43" s="88"/>
      <c r="S43" s="87"/>
      <c r="T43" s="104" t="e">
        <f>#REF!</f>
        <v>#REF!</v>
      </c>
      <c r="U43" s="104" t="e">
        <f>#REF!</f>
        <v>#REF!</v>
      </c>
      <c r="V43" s="104" t="e">
        <v>#REF!</v>
      </c>
      <c r="W43" s="356" t="e">
        <f>#REF!</f>
        <v>#REF!</v>
      </c>
      <c r="X43" s="356" t="e">
        <f>#REF!</f>
        <v>#REF!</v>
      </c>
      <c r="Y43" s="104" t="e">
        <f>#REF!</f>
        <v>#REF!</v>
      </c>
      <c r="Z43" s="104" t="e">
        <f>#REF!</f>
        <v>#REF!</v>
      </c>
      <c r="AA43" s="104" t="e">
        <f>#REF!</f>
        <v>#REF!</v>
      </c>
      <c r="AB43" s="245" t="e">
        <f>#REF!</f>
        <v>#REF!</v>
      </c>
    </row>
    <row r="44" spans="2:30" ht="13.35" hidden="1" customHeight="1" x14ac:dyDescent="0.25">
      <c r="B44" s="2" t="s">
        <v>31</v>
      </c>
      <c r="C44" s="47">
        <v>2236858.4700000002</v>
      </c>
      <c r="D44" s="47">
        <v>2265490.2250000001</v>
      </c>
      <c r="E44" s="47">
        <v>2229687.3200000003</v>
      </c>
      <c r="F44" s="47" t="e">
        <v>#REF!</v>
      </c>
      <c r="G44" s="87" t="e">
        <f>#REF!</f>
        <v>#REF!</v>
      </c>
      <c r="H44" s="87"/>
      <c r="I44" s="104" t="e">
        <f>#REF!</f>
        <v>#REF!</v>
      </c>
      <c r="J44" s="105"/>
      <c r="K44" s="104"/>
      <c r="L44" s="88" t="e">
        <f>#REF!</f>
        <v>#REF!</v>
      </c>
      <c r="M44" s="104"/>
      <c r="N44" s="94"/>
      <c r="O44" s="95"/>
      <c r="P44" s="89" t="e">
        <f>#REF!</f>
        <v>#REF!</v>
      </c>
      <c r="Q44" s="85" t="e">
        <v>#REF!</v>
      </c>
      <c r="R44" s="88"/>
      <c r="S44" s="87"/>
      <c r="T44" s="104" t="e">
        <f>#REF!</f>
        <v>#REF!</v>
      </c>
      <c r="U44" s="104" t="e">
        <f>#REF!</f>
        <v>#REF!</v>
      </c>
      <c r="V44" s="104" t="e">
        <v>#REF!</v>
      </c>
      <c r="W44" s="356" t="e">
        <f>#REF!</f>
        <v>#REF!</v>
      </c>
      <c r="X44" s="356" t="e">
        <f>#REF!</f>
        <v>#REF!</v>
      </c>
      <c r="Y44" s="104" t="e">
        <f>#REF!</f>
        <v>#REF!</v>
      </c>
      <c r="Z44" s="104" t="e">
        <f>#REF!</f>
        <v>#REF!</v>
      </c>
      <c r="AA44" s="104" t="e">
        <f>#REF!</f>
        <v>#REF!</v>
      </c>
      <c r="AB44" s="245" t="e">
        <f>#REF!</f>
        <v>#REF!</v>
      </c>
    </row>
    <row r="45" spans="2:30" ht="13.35" hidden="1" customHeight="1" x14ac:dyDescent="0.25">
      <c r="B45" s="2" t="s">
        <v>32</v>
      </c>
      <c r="C45" s="47">
        <v>2762524.09</v>
      </c>
      <c r="D45" s="47">
        <v>2788770.4849999999</v>
      </c>
      <c r="E45" s="47">
        <v>2860135.3</v>
      </c>
      <c r="F45" s="47" t="e">
        <v>#REF!</v>
      </c>
      <c r="G45" s="87" t="e">
        <f>#REF!</f>
        <v>#REF!</v>
      </c>
      <c r="H45" s="87"/>
      <c r="I45" s="104" t="e">
        <f>#REF!</f>
        <v>#REF!</v>
      </c>
      <c r="J45" s="105"/>
      <c r="K45" s="104"/>
      <c r="L45" s="88" t="e">
        <f>#REF!</f>
        <v>#REF!</v>
      </c>
      <c r="M45" s="104"/>
      <c r="N45" s="94"/>
      <c r="O45" s="95"/>
      <c r="P45" s="89" t="e">
        <f>#REF!</f>
        <v>#REF!</v>
      </c>
      <c r="Q45" s="85" t="e">
        <v>#REF!</v>
      </c>
      <c r="R45" s="88"/>
      <c r="S45" s="87"/>
      <c r="T45" s="104" t="e">
        <f>#REF!</f>
        <v>#REF!</v>
      </c>
      <c r="U45" s="104" t="e">
        <f>#REF!</f>
        <v>#REF!</v>
      </c>
      <c r="V45" s="104" t="e">
        <v>#REF!</v>
      </c>
      <c r="W45" s="356" t="e">
        <f>#REF!</f>
        <v>#REF!</v>
      </c>
      <c r="X45" s="356" t="e">
        <f>#REF!</f>
        <v>#REF!</v>
      </c>
      <c r="Y45" s="104" t="e">
        <f>#REF!</f>
        <v>#REF!</v>
      </c>
      <c r="Z45" s="104" t="e">
        <f>#REF!</f>
        <v>#REF!</v>
      </c>
      <c r="AA45" s="104" t="e">
        <f>#REF!</f>
        <v>#REF!</v>
      </c>
      <c r="AB45" s="245" t="e">
        <f>#REF!</f>
        <v>#REF!</v>
      </c>
    </row>
    <row r="46" spans="2:30" ht="13.35" hidden="1" customHeight="1" x14ac:dyDescent="0.25">
      <c r="B46" s="2" t="s">
        <v>33</v>
      </c>
      <c r="C46" s="47">
        <v>2441153.42</v>
      </c>
      <c r="D46" s="47">
        <v>2477397.73</v>
      </c>
      <c r="E46" s="47">
        <v>2191999.3499999996</v>
      </c>
      <c r="F46" s="47" t="e">
        <v>#REF!</v>
      </c>
      <c r="G46" s="87" t="e">
        <f>#REF!</f>
        <v>#REF!</v>
      </c>
      <c r="H46" s="87"/>
      <c r="I46" s="104" t="e">
        <f>#REF!</f>
        <v>#REF!</v>
      </c>
      <c r="J46" s="105"/>
      <c r="K46" s="104"/>
      <c r="L46" s="88" t="e">
        <f>#REF!</f>
        <v>#REF!</v>
      </c>
      <c r="M46" s="104"/>
      <c r="N46" s="94"/>
      <c r="O46" s="95"/>
      <c r="P46" s="89" t="e">
        <f>#REF!</f>
        <v>#REF!</v>
      </c>
      <c r="Q46" s="85" t="e">
        <v>#REF!</v>
      </c>
      <c r="R46" s="88"/>
      <c r="S46" s="87"/>
      <c r="T46" s="104" t="e">
        <f>#REF!</f>
        <v>#REF!</v>
      </c>
      <c r="U46" s="104" t="e">
        <f>#REF!</f>
        <v>#REF!</v>
      </c>
      <c r="V46" s="104" t="e">
        <v>#REF!</v>
      </c>
      <c r="W46" s="356" t="e">
        <f>#REF!</f>
        <v>#REF!</v>
      </c>
      <c r="X46" s="356" t="e">
        <f>#REF!</f>
        <v>#REF!</v>
      </c>
      <c r="Y46" s="104" t="e">
        <f>#REF!</f>
        <v>#REF!</v>
      </c>
      <c r="Z46" s="104" t="e">
        <f>#REF!</f>
        <v>#REF!</v>
      </c>
      <c r="AA46" s="104" t="e">
        <f>#REF!</f>
        <v>#REF!</v>
      </c>
      <c r="AB46" s="245" t="e">
        <f>#REF!</f>
        <v>#REF!</v>
      </c>
    </row>
    <row r="47" spans="2:30" ht="13.35" hidden="1" customHeight="1" x14ac:dyDescent="0.25">
      <c r="B47" s="2" t="s">
        <v>34</v>
      </c>
      <c r="C47" s="47">
        <v>1396667.2700000003</v>
      </c>
      <c r="D47" s="47">
        <v>1535611.5649999999</v>
      </c>
      <c r="E47" s="47">
        <v>1415245.7699999996</v>
      </c>
      <c r="F47" s="47" t="e">
        <v>#REF!</v>
      </c>
      <c r="G47" s="87" t="e">
        <f>#REF!</f>
        <v>#REF!</v>
      </c>
      <c r="H47" s="87"/>
      <c r="I47" s="104" t="e">
        <f>#REF!</f>
        <v>#REF!</v>
      </c>
      <c r="J47" s="105"/>
      <c r="K47" s="104"/>
      <c r="L47" s="88" t="e">
        <f>#REF!</f>
        <v>#REF!</v>
      </c>
      <c r="M47" s="104"/>
      <c r="N47" s="94"/>
      <c r="O47" s="95"/>
      <c r="P47" s="89" t="e">
        <f>#REF!</f>
        <v>#REF!</v>
      </c>
      <c r="Q47" s="85" t="e">
        <v>#REF!</v>
      </c>
      <c r="R47" s="88"/>
      <c r="S47" s="87"/>
      <c r="T47" s="104" t="e">
        <f>#REF!</f>
        <v>#REF!</v>
      </c>
      <c r="U47" s="104" t="e">
        <f>#REF!</f>
        <v>#REF!</v>
      </c>
      <c r="V47" s="104" t="e">
        <v>#REF!</v>
      </c>
      <c r="W47" s="356" t="e">
        <f>#REF!</f>
        <v>#REF!</v>
      </c>
      <c r="X47" s="356" t="e">
        <f>#REF!</f>
        <v>#REF!</v>
      </c>
      <c r="Y47" s="104" t="e">
        <f>#REF!</f>
        <v>#REF!</v>
      </c>
      <c r="Z47" s="104" t="e">
        <f>#REF!</f>
        <v>#REF!</v>
      </c>
      <c r="AA47" s="104" t="e">
        <f>#REF!</f>
        <v>#REF!</v>
      </c>
      <c r="AB47" s="245" t="e">
        <f>#REF!</f>
        <v>#REF!</v>
      </c>
    </row>
    <row r="48" spans="2:30" ht="13.35" hidden="1" customHeight="1" x14ac:dyDescent="0.25">
      <c r="B48" s="2" t="s">
        <v>35</v>
      </c>
      <c r="C48" s="47">
        <v>385846.55000000005</v>
      </c>
      <c r="D48" s="47">
        <v>336699.02</v>
      </c>
      <c r="E48" s="47">
        <v>321497.58</v>
      </c>
      <c r="F48" s="47" t="e">
        <v>#REF!</v>
      </c>
      <c r="G48" s="87" t="e">
        <f>#REF!</f>
        <v>#REF!</v>
      </c>
      <c r="H48" s="87"/>
      <c r="I48" s="104" t="e">
        <f>#REF!</f>
        <v>#REF!</v>
      </c>
      <c r="J48" s="105"/>
      <c r="K48" s="104"/>
      <c r="L48" s="88" t="e">
        <f>#REF!</f>
        <v>#REF!</v>
      </c>
      <c r="M48" s="104"/>
      <c r="N48" s="94"/>
      <c r="O48" s="95"/>
      <c r="P48" s="89" t="e">
        <f>#REF!</f>
        <v>#REF!</v>
      </c>
      <c r="Q48" s="85" t="e">
        <v>#REF!</v>
      </c>
      <c r="R48" s="88"/>
      <c r="S48" s="87"/>
      <c r="T48" s="104" t="e">
        <f>#REF!</f>
        <v>#REF!</v>
      </c>
      <c r="U48" s="104" t="e">
        <f>#REF!</f>
        <v>#REF!</v>
      </c>
      <c r="V48" s="104" t="e">
        <v>#REF!</v>
      </c>
      <c r="W48" s="356" t="e">
        <f>#REF!</f>
        <v>#REF!</v>
      </c>
      <c r="X48" s="356" t="e">
        <f>#REF!</f>
        <v>#REF!</v>
      </c>
      <c r="Y48" s="104" t="e">
        <f>#REF!</f>
        <v>#REF!</v>
      </c>
      <c r="Z48" s="104" t="e">
        <f>#REF!</f>
        <v>#REF!</v>
      </c>
      <c r="AA48" s="104" t="e">
        <f>#REF!</f>
        <v>#REF!</v>
      </c>
      <c r="AB48" s="245" t="e">
        <f>#REF!</f>
        <v>#REF!</v>
      </c>
    </row>
    <row r="49" spans="1:37" ht="13.35" customHeight="1" x14ac:dyDescent="0.25">
      <c r="C49" s="47"/>
      <c r="D49" s="47"/>
      <c r="E49" s="47"/>
      <c r="F49" s="47"/>
      <c r="G49" s="87"/>
      <c r="H49" s="87"/>
      <c r="I49" s="87"/>
      <c r="J49" s="39"/>
      <c r="K49" s="87"/>
      <c r="L49" s="88"/>
      <c r="M49" s="104"/>
      <c r="N49" s="94"/>
      <c r="O49" s="95"/>
      <c r="P49" s="89"/>
      <c r="Q49" s="85"/>
      <c r="R49" s="88"/>
      <c r="S49" s="87"/>
      <c r="T49" s="87"/>
      <c r="U49" s="87"/>
      <c r="V49" s="87"/>
      <c r="W49" s="336"/>
      <c r="X49" s="336"/>
      <c r="Y49" s="87"/>
      <c r="Z49" s="87"/>
      <c r="AA49" s="87"/>
      <c r="AB49" s="242"/>
    </row>
    <row r="50" spans="1:37" ht="13.35" customHeight="1" x14ac:dyDescent="0.25">
      <c r="C50" s="47"/>
      <c r="D50" s="47"/>
      <c r="E50" s="47"/>
      <c r="F50" s="47"/>
      <c r="G50" s="87"/>
      <c r="H50" s="87"/>
      <c r="I50" s="87"/>
      <c r="J50" s="39"/>
      <c r="K50" s="87"/>
      <c r="L50" s="88"/>
      <c r="M50" s="104"/>
      <c r="N50" s="94"/>
      <c r="O50" s="95"/>
      <c r="P50" s="89"/>
      <c r="Q50" s="85"/>
      <c r="R50" s="88"/>
      <c r="S50" s="87"/>
      <c r="T50" s="87"/>
      <c r="U50" s="87"/>
      <c r="V50" s="87"/>
      <c r="W50" s="336"/>
      <c r="X50" s="336"/>
      <c r="Y50" s="87"/>
      <c r="Z50" s="87"/>
      <c r="AA50" s="87"/>
      <c r="AB50" s="242"/>
    </row>
    <row r="51" spans="1:37" ht="13.35" customHeight="1" x14ac:dyDescent="0.3">
      <c r="A51" s="35" t="s">
        <v>187</v>
      </c>
      <c r="C51" s="47"/>
      <c r="D51" s="47"/>
      <c r="E51" s="47"/>
      <c r="F51" s="47"/>
      <c r="G51" s="87"/>
      <c r="H51" s="87"/>
      <c r="I51" s="87"/>
      <c r="J51" s="39"/>
      <c r="K51" s="87"/>
      <c r="L51" s="88"/>
      <c r="M51" s="104"/>
      <c r="N51" s="94"/>
      <c r="O51" s="95"/>
      <c r="P51" s="89"/>
      <c r="Q51" s="85"/>
      <c r="R51" s="88"/>
      <c r="S51" s="87"/>
      <c r="T51" s="87"/>
      <c r="U51" s="87"/>
      <c r="V51" s="87"/>
      <c r="W51" s="336"/>
      <c r="X51" s="336"/>
      <c r="Y51" s="87"/>
      <c r="Z51" s="87"/>
      <c r="AA51" s="87"/>
      <c r="AB51" s="242"/>
    </row>
    <row r="52" spans="1:37" ht="13.35" customHeight="1" x14ac:dyDescent="0.25">
      <c r="B52" s="2" t="s">
        <v>141</v>
      </c>
      <c r="C52" s="47"/>
      <c r="D52" s="47"/>
      <c r="E52" s="47"/>
      <c r="F52" s="47"/>
      <c r="G52" s="87"/>
      <c r="H52" s="87"/>
      <c r="I52" s="87">
        <f t="shared" ref="I52:I57" si="4">+I11-I28</f>
        <v>479992.09090909176</v>
      </c>
      <c r="J52" s="39"/>
      <c r="K52" s="87">
        <f t="shared" ref="K52:K57" si="5">+K11-K28</f>
        <v>264795.77000000142</v>
      </c>
      <c r="L52" s="88"/>
      <c r="M52" s="104"/>
      <c r="N52" s="94"/>
      <c r="O52" s="95"/>
      <c r="P52" s="89"/>
      <c r="Q52" s="85"/>
      <c r="R52" s="88"/>
      <c r="S52" s="87">
        <f t="shared" ref="S52:V57" si="6">+S11-S28</f>
        <v>111842.96000000089</v>
      </c>
      <c r="T52" s="87">
        <f t="shared" si="6"/>
        <v>-1049223</v>
      </c>
      <c r="U52" s="87">
        <f t="shared" si="6"/>
        <v>151714.90000000037</v>
      </c>
      <c r="V52" s="87">
        <f t="shared" si="6"/>
        <v>779292.66000000201</v>
      </c>
      <c r="W52" s="336">
        <f t="shared" ref="W52:AB57" si="7">+W11-W28</f>
        <v>266094.51999999955</v>
      </c>
      <c r="X52" s="88">
        <f t="shared" si="7"/>
        <v>635363.58745573089</v>
      </c>
      <c r="Y52" s="87">
        <f t="shared" si="7"/>
        <v>393015.37730483897</v>
      </c>
      <c r="Z52" s="87">
        <f t="shared" si="7"/>
        <v>783237.6857000012</v>
      </c>
      <c r="AA52" s="87">
        <f t="shared" ref="AA52:AA57" si="8">+AA11-AA28</f>
        <v>770215.65633899905</v>
      </c>
      <c r="AB52" s="242">
        <f t="shared" si="7"/>
        <v>771640.68901658617</v>
      </c>
    </row>
    <row r="53" spans="1:37" ht="13.35" customHeight="1" x14ac:dyDescent="0.25">
      <c r="B53" s="2" t="str">
        <f>+B29</f>
        <v>Conference</v>
      </c>
      <c r="C53" s="47"/>
      <c r="D53" s="47"/>
      <c r="E53" s="47"/>
      <c r="F53" s="47"/>
      <c r="G53" s="87"/>
      <c r="H53" s="87"/>
      <c r="I53" s="87">
        <f t="shared" si="4"/>
        <v>752015</v>
      </c>
      <c r="J53" s="39"/>
      <c r="K53" s="87">
        <f t="shared" si="5"/>
        <v>287049</v>
      </c>
      <c r="L53" s="88"/>
      <c r="M53" s="104"/>
      <c r="N53" s="94"/>
      <c r="O53" s="95"/>
      <c r="P53" s="89"/>
      <c r="Q53" s="85"/>
      <c r="R53" s="88"/>
      <c r="S53" s="87">
        <f t="shared" si="6"/>
        <v>239575.58000000007</v>
      </c>
      <c r="T53" s="87">
        <f t="shared" si="6"/>
        <v>-936105</v>
      </c>
      <c r="U53" s="87">
        <f t="shared" si="6"/>
        <v>929827.49</v>
      </c>
      <c r="V53" s="87">
        <f t="shared" si="6"/>
        <v>-529661.97999999952</v>
      </c>
      <c r="W53" s="336">
        <f t="shared" si="7"/>
        <v>540077</v>
      </c>
      <c r="X53" s="88">
        <f t="shared" si="7"/>
        <v>-398286.94002764579</v>
      </c>
      <c r="Y53" s="87">
        <f t="shared" si="7"/>
        <v>-1013018.0455949828</v>
      </c>
      <c r="Z53" s="87">
        <f t="shared" si="7"/>
        <v>-408587.98060000036</v>
      </c>
      <c r="AA53" s="87">
        <f t="shared" si="8"/>
        <v>-116506.68033700064</v>
      </c>
      <c r="AB53" s="242">
        <f t="shared" si="7"/>
        <v>-292811.97250115965</v>
      </c>
    </row>
    <row r="54" spans="1:37" ht="13.35" customHeight="1" x14ac:dyDescent="0.25">
      <c r="B54" s="2" t="str">
        <f>+B30</f>
        <v>Membership Dues</v>
      </c>
      <c r="C54" s="47"/>
      <c r="D54" s="47"/>
      <c r="E54" s="47"/>
      <c r="F54" s="47"/>
      <c r="G54" s="87"/>
      <c r="H54" s="87"/>
      <c r="I54" s="87">
        <f t="shared" si="4"/>
        <v>5195935</v>
      </c>
      <c r="J54" s="39"/>
      <c r="K54" s="87">
        <f t="shared" si="5"/>
        <v>5272729</v>
      </c>
      <c r="L54" s="88"/>
      <c r="M54" s="104"/>
      <c r="N54" s="94"/>
      <c r="O54" s="95"/>
      <c r="P54" s="89"/>
      <c r="Q54" s="85"/>
      <c r="R54" s="88"/>
      <c r="S54" s="87">
        <f t="shared" si="6"/>
        <v>5207420</v>
      </c>
      <c r="T54" s="87">
        <f t="shared" si="6"/>
        <v>5071698</v>
      </c>
      <c r="U54" s="87">
        <f t="shared" si="6"/>
        <v>4545748.3199999994</v>
      </c>
      <c r="V54" s="87">
        <f t="shared" si="6"/>
        <v>4578473.6100000013</v>
      </c>
      <c r="W54" s="336">
        <f t="shared" si="7"/>
        <v>4300792</v>
      </c>
      <c r="X54" s="88">
        <f t="shared" si="7"/>
        <v>4772900</v>
      </c>
      <c r="Y54" s="87">
        <f t="shared" si="7"/>
        <v>4704409</v>
      </c>
      <c r="Z54" s="87">
        <f t="shared" si="7"/>
        <v>4610977.9654799998</v>
      </c>
      <c r="AA54" s="87">
        <f t="shared" si="8"/>
        <v>4806163.5416913349</v>
      </c>
      <c r="AB54" s="242">
        <f t="shared" si="7"/>
        <v>5004917.7405081093</v>
      </c>
    </row>
    <row r="55" spans="1:37" ht="13.35" customHeight="1" x14ac:dyDescent="0.25">
      <c r="B55" s="2" t="str">
        <f>+B31</f>
        <v>Divisions</v>
      </c>
      <c r="C55" s="47"/>
      <c r="D55" s="47"/>
      <c r="E55" s="47"/>
      <c r="F55" s="47"/>
      <c r="G55" s="87"/>
      <c r="H55" s="87"/>
      <c r="I55" s="87">
        <f t="shared" si="4"/>
        <v>-410345.88500000164</v>
      </c>
      <c r="J55" s="39"/>
      <c r="K55" s="87">
        <f t="shared" si="5"/>
        <v>720862.73000000045</v>
      </c>
      <c r="L55" s="88"/>
      <c r="M55" s="104"/>
      <c r="N55" s="94"/>
      <c r="O55" s="95"/>
      <c r="P55" s="89"/>
      <c r="Q55" s="85"/>
      <c r="R55" s="88"/>
      <c r="S55" s="87">
        <f t="shared" si="6"/>
        <v>-892835.37000000104</v>
      </c>
      <c r="T55" s="87">
        <f t="shared" si="6"/>
        <v>698098.2600000035</v>
      </c>
      <c r="U55" s="87">
        <f t="shared" si="6"/>
        <v>1821497.6900000013</v>
      </c>
      <c r="V55" s="87">
        <f t="shared" si="6"/>
        <v>1765456.299999997</v>
      </c>
      <c r="W55" s="336">
        <f t="shared" si="7"/>
        <v>160727</v>
      </c>
      <c r="X55" s="88">
        <f t="shared" si="7"/>
        <v>359382.34830134176</v>
      </c>
      <c r="Y55" s="87">
        <f t="shared" si="7"/>
        <v>282120.81602054834</v>
      </c>
      <c r="Z55" s="87">
        <f t="shared" si="7"/>
        <v>250099.42324250005</v>
      </c>
      <c r="AA55" s="87">
        <f t="shared" si="8"/>
        <v>1268688.303313924</v>
      </c>
      <c r="AB55" s="242">
        <f t="shared" si="7"/>
        <v>757436.90730914474</v>
      </c>
      <c r="AC55" s="79"/>
    </row>
    <row r="56" spans="1:37" ht="13.35" customHeight="1" x14ac:dyDescent="0.25">
      <c r="B56" s="2" t="str">
        <f>+B32</f>
        <v>Round Tables</v>
      </c>
      <c r="C56" s="47"/>
      <c r="D56" s="47"/>
      <c r="E56" s="47"/>
      <c r="F56" s="47"/>
      <c r="G56" s="87"/>
      <c r="H56" s="87"/>
      <c r="I56" s="87">
        <f t="shared" si="4"/>
        <v>199116</v>
      </c>
      <c r="J56" s="39"/>
      <c r="K56" s="87">
        <f t="shared" si="5"/>
        <v>333710</v>
      </c>
      <c r="L56" s="88"/>
      <c r="M56" s="104"/>
      <c r="N56" s="94"/>
      <c r="O56" s="95"/>
      <c r="P56" s="89"/>
      <c r="Q56" s="85"/>
      <c r="R56" s="88"/>
      <c r="S56" s="87">
        <f t="shared" si="6"/>
        <v>175540.49</v>
      </c>
      <c r="T56" s="87">
        <f t="shared" si="6"/>
        <v>255756</v>
      </c>
      <c r="U56" s="87">
        <f t="shared" si="6"/>
        <v>360421.38999999996</v>
      </c>
      <c r="V56" s="87">
        <f t="shared" si="6"/>
        <v>321453.69999999972</v>
      </c>
      <c r="W56" s="336">
        <f t="shared" si="7"/>
        <v>40689.99999999901</v>
      </c>
      <c r="X56" s="88">
        <f>+X15-X32</f>
        <v>84690</v>
      </c>
      <c r="Y56" s="87">
        <f t="shared" si="7"/>
        <v>92337.39441600896</v>
      </c>
      <c r="Z56" s="87">
        <f t="shared" si="7"/>
        <v>90760.394416010007</v>
      </c>
      <c r="AA56" s="87">
        <f t="shared" si="8"/>
        <v>90760.394416010007</v>
      </c>
      <c r="AB56" s="242">
        <f t="shared" si="7"/>
        <v>90760.394416010007</v>
      </c>
      <c r="AC56" s="79"/>
      <c r="AD56" s="79"/>
      <c r="AE56" s="79"/>
      <c r="AF56" s="79"/>
      <c r="AG56" s="79"/>
    </row>
    <row r="57" spans="1:37" ht="13.35" customHeight="1" x14ac:dyDescent="0.3">
      <c r="B57" s="2" t="str">
        <f>+B33</f>
        <v>Grants</v>
      </c>
      <c r="C57" s="47"/>
      <c r="D57" s="47"/>
      <c r="E57" s="47"/>
      <c r="F57" s="47"/>
      <c r="G57" s="87"/>
      <c r="H57" s="87"/>
      <c r="I57" s="87">
        <f t="shared" si="4"/>
        <v>74329.339999999851</v>
      </c>
      <c r="J57" s="39"/>
      <c r="K57" s="87">
        <f t="shared" si="5"/>
        <v>-59023</v>
      </c>
      <c r="L57" s="88"/>
      <c r="M57" s="104"/>
      <c r="N57" s="94"/>
      <c r="O57" s="95"/>
      <c r="P57" s="89"/>
      <c r="Q57" s="85"/>
      <c r="R57" s="88"/>
      <c r="S57" s="87">
        <f t="shared" si="6"/>
        <v>394651.87000000011</v>
      </c>
      <c r="T57" s="87">
        <f t="shared" si="6"/>
        <v>3284455</v>
      </c>
      <c r="U57" s="87">
        <f t="shared" si="6"/>
        <v>-3267950.6800000006</v>
      </c>
      <c r="V57" s="87">
        <f t="shared" si="6"/>
        <v>5834472.6599999992</v>
      </c>
      <c r="W57" s="336">
        <f t="shared" si="7"/>
        <v>0</v>
      </c>
      <c r="X57" s="88">
        <f t="shared" si="7"/>
        <v>0</v>
      </c>
      <c r="Y57" s="87">
        <f t="shared" si="7"/>
        <v>0</v>
      </c>
      <c r="Z57" s="87">
        <f t="shared" si="7"/>
        <v>0</v>
      </c>
      <c r="AA57" s="87">
        <f t="shared" si="8"/>
        <v>0</v>
      </c>
      <c r="AB57" s="242">
        <f t="shared" si="7"/>
        <v>0</v>
      </c>
      <c r="AC57"/>
    </row>
    <row r="58" spans="1:37" ht="13.35" customHeight="1" x14ac:dyDescent="0.25">
      <c r="B58" s="2" t="str">
        <f>+B17</f>
        <v>Grant - PPP loan forgiveness and Employee Retention Credit</v>
      </c>
      <c r="C58" s="47"/>
      <c r="D58" s="47"/>
      <c r="E58" s="47"/>
      <c r="F58" s="47"/>
      <c r="G58" s="87"/>
      <c r="H58" s="87"/>
      <c r="I58" s="87"/>
      <c r="J58" s="39"/>
      <c r="K58" s="87"/>
      <c r="L58" s="88"/>
      <c r="M58" s="104"/>
      <c r="N58" s="94"/>
      <c r="O58" s="95"/>
      <c r="P58" s="89"/>
      <c r="Q58" s="85"/>
      <c r="R58" s="88"/>
      <c r="S58" s="87"/>
      <c r="T58" s="87"/>
      <c r="U58" s="87">
        <f>+U17</f>
        <v>4213035</v>
      </c>
      <c r="V58" s="87">
        <f>+V17</f>
        <v>5078786</v>
      </c>
      <c r="W58" s="336">
        <v>0</v>
      </c>
      <c r="X58" s="88">
        <v>0</v>
      </c>
      <c r="Y58" s="87">
        <v>0</v>
      </c>
      <c r="Z58" s="87">
        <v>0</v>
      </c>
      <c r="AA58" s="87">
        <v>0</v>
      </c>
      <c r="AB58" s="242">
        <v>0</v>
      </c>
    </row>
    <row r="59" spans="1:37" ht="13.35" customHeight="1" x14ac:dyDescent="0.25">
      <c r="B59" s="2" t="s">
        <v>126</v>
      </c>
      <c r="C59" s="47"/>
      <c r="D59" s="47"/>
      <c r="E59" s="47"/>
      <c r="F59" s="47"/>
      <c r="G59" s="87"/>
      <c r="H59" s="87"/>
      <c r="I59" s="87">
        <v>-667693</v>
      </c>
      <c r="J59" s="39"/>
      <c r="K59" s="87">
        <v>-328986.55999999994</v>
      </c>
      <c r="L59" s="88"/>
      <c r="M59" s="87"/>
      <c r="N59" s="87"/>
      <c r="O59" s="242"/>
      <c r="P59" s="89"/>
      <c r="Q59" s="85"/>
      <c r="R59" s="88"/>
      <c r="S59" s="87">
        <v>-205966.80000000016</v>
      </c>
      <c r="T59" s="87">
        <v>134654.34999999998</v>
      </c>
      <c r="U59" s="87">
        <f>614794.2-1500000</f>
        <v>-885205.8</v>
      </c>
      <c r="V59" s="87">
        <f>856900.75-1500000</f>
        <v>-643099.25</v>
      </c>
      <c r="W59" s="336">
        <v>-2655564</v>
      </c>
      <c r="X59" s="88">
        <v>-1668665.0103485002</v>
      </c>
      <c r="Y59" s="87">
        <f>+Y18-Y34-Y62</f>
        <v>119166.520787674</v>
      </c>
      <c r="Z59" s="87">
        <v>625709.520787674</v>
      </c>
      <c r="AA59" s="87">
        <v>625709.520787674</v>
      </c>
      <c r="AB59" s="236">
        <f>+Z59</f>
        <v>625709.520787674</v>
      </c>
      <c r="AC59" s="411" t="s">
        <v>2</v>
      </c>
    </row>
    <row r="60" spans="1:37" ht="13.35" customHeight="1" x14ac:dyDescent="0.25">
      <c r="B60" s="2" t="str">
        <f>+B19</f>
        <v>Contributed Revenue</v>
      </c>
      <c r="C60" s="47"/>
      <c r="D60" s="47"/>
      <c r="E60" s="47"/>
      <c r="F60" s="47"/>
      <c r="G60" s="87"/>
      <c r="H60" s="87"/>
      <c r="I60" s="87">
        <f>+I19-I35</f>
        <v>0</v>
      </c>
      <c r="J60" s="39"/>
      <c r="K60" s="87">
        <f>+K19</f>
        <v>205003</v>
      </c>
      <c r="L60" s="88"/>
      <c r="M60" s="104"/>
      <c r="N60" s="94"/>
      <c r="O60" s="95"/>
      <c r="P60" s="89"/>
      <c r="Q60" s="85"/>
      <c r="R60" s="88"/>
      <c r="S60" s="87">
        <f t="shared" ref="S60:V61" si="9">+S19</f>
        <v>52500</v>
      </c>
      <c r="T60" s="87">
        <f t="shared" si="9"/>
        <v>25000</v>
      </c>
      <c r="U60" s="87">
        <f t="shared" si="9"/>
        <v>3550000</v>
      </c>
      <c r="V60" s="87">
        <f t="shared" si="9"/>
        <v>2719000</v>
      </c>
      <c r="W60" s="336">
        <f t="shared" ref="W60:AB60" si="10">+W19</f>
        <v>3085000</v>
      </c>
      <c r="X60" s="88">
        <f t="shared" si="10"/>
        <v>4507000</v>
      </c>
      <c r="Y60" s="87">
        <f t="shared" si="10"/>
        <v>5000000</v>
      </c>
      <c r="Z60" s="87">
        <f t="shared" si="10"/>
        <v>6000000</v>
      </c>
      <c r="AA60" s="87">
        <f t="shared" si="10"/>
        <v>6500000</v>
      </c>
      <c r="AB60" s="242">
        <f t="shared" si="10"/>
        <v>6500000</v>
      </c>
    </row>
    <row r="61" spans="1:37" ht="13.35" customHeight="1" x14ac:dyDescent="0.3">
      <c r="B61" s="2" t="str">
        <f>+B35</f>
        <v xml:space="preserve">Continuing Education </v>
      </c>
      <c r="C61" s="47"/>
      <c r="D61" s="47"/>
      <c r="E61" s="47"/>
      <c r="F61" s="47"/>
      <c r="G61" s="87"/>
      <c r="H61" s="87"/>
      <c r="I61" s="87">
        <f>+I19-I35</f>
        <v>0</v>
      </c>
      <c r="J61" s="39"/>
      <c r="K61" s="87">
        <f>+K20</f>
        <v>0</v>
      </c>
      <c r="L61" s="88"/>
      <c r="M61" s="104"/>
      <c r="N61" s="94"/>
      <c r="O61" s="95"/>
      <c r="P61" s="89"/>
      <c r="Q61" s="85"/>
      <c r="R61" s="88"/>
      <c r="S61" s="87">
        <f t="shared" si="9"/>
        <v>0</v>
      </c>
      <c r="T61" s="87">
        <f t="shared" si="9"/>
        <v>0</v>
      </c>
      <c r="U61" s="87">
        <f>+U20-U35</f>
        <v>-1760</v>
      </c>
      <c r="V61" s="87">
        <f>+V20-V35</f>
        <v>176867.59000000003</v>
      </c>
      <c r="W61" s="336">
        <f t="shared" ref="W61:AB61" si="11">+W20-W35</f>
        <v>-34636</v>
      </c>
      <c r="X61" s="88">
        <f t="shared" si="11"/>
        <v>38471.058411438367</v>
      </c>
      <c r="Y61" s="87">
        <f t="shared" si="11"/>
        <v>95485.033922532457</v>
      </c>
      <c r="Z61" s="87">
        <f t="shared" si="11"/>
        <v>82994.061577999964</v>
      </c>
      <c r="AA61" s="87">
        <f t="shared" si="11"/>
        <v>120489.59383777995</v>
      </c>
      <c r="AB61" s="242">
        <f t="shared" si="11"/>
        <v>161197.54415903764</v>
      </c>
      <c r="AD61"/>
      <c r="AE61"/>
      <c r="AF61"/>
      <c r="AG61"/>
      <c r="AH61"/>
      <c r="AI61"/>
      <c r="AJ61"/>
      <c r="AK61"/>
    </row>
    <row r="62" spans="1:37" ht="13.35" customHeight="1" x14ac:dyDescent="0.3">
      <c r="B62" s="2" t="s">
        <v>150</v>
      </c>
      <c r="C62" s="47"/>
      <c r="D62" s="47"/>
      <c r="E62" s="47"/>
      <c r="F62" s="47"/>
      <c r="G62" s="87"/>
      <c r="H62" s="87"/>
      <c r="I62" s="87">
        <f>+'Detailed GF version'!I31</f>
        <v>1333533</v>
      </c>
      <c r="J62" s="39"/>
      <c r="K62" s="87">
        <f>+'Detailed GF version'!K31</f>
        <v>1110410</v>
      </c>
      <c r="L62" s="88"/>
      <c r="M62" s="104"/>
      <c r="N62" s="94"/>
      <c r="O62" s="95"/>
      <c r="P62" s="89"/>
      <c r="Q62" s="85"/>
      <c r="R62" s="88"/>
      <c r="S62" s="87">
        <f>+'Detailed GF version'!S31</f>
        <v>804186</v>
      </c>
      <c r="T62" s="87">
        <f>+'Detailed GF version'!T31</f>
        <v>715493.96</v>
      </c>
      <c r="U62" s="87">
        <f>+'Detailed GF version'!U31</f>
        <v>2221906.19</v>
      </c>
      <c r="V62" s="87">
        <f>+'Detailed GF version'!X31</f>
        <v>2520657.7400000002</v>
      </c>
      <c r="W62" s="336">
        <v>2316301</v>
      </c>
      <c r="X62" s="88">
        <f>+'Detailed GF version'!Z31</f>
        <v>1170000</v>
      </c>
      <c r="Y62" s="87">
        <f>+'Detailed GF version'!AA31</f>
        <v>2083850</v>
      </c>
      <c r="Z62" s="87">
        <f>+Y62</f>
        <v>2083850</v>
      </c>
      <c r="AA62" s="87">
        <f>+Y62</f>
        <v>2083850</v>
      </c>
      <c r="AB62" s="242">
        <f>+Y62</f>
        <v>2083850</v>
      </c>
      <c r="AD62"/>
      <c r="AE62"/>
      <c r="AF62"/>
      <c r="AG62"/>
      <c r="AH62"/>
      <c r="AI62"/>
      <c r="AJ62"/>
      <c r="AK62"/>
    </row>
    <row r="63" spans="1:37" ht="13.35" customHeight="1" x14ac:dyDescent="0.3">
      <c r="B63" s="2" t="str">
        <f>+B21</f>
        <v xml:space="preserve">Other </v>
      </c>
      <c r="C63" s="47"/>
      <c r="D63" s="47"/>
      <c r="E63" s="47"/>
      <c r="F63" s="47"/>
      <c r="G63" s="87"/>
      <c r="H63" s="87"/>
      <c r="I63" s="87">
        <f>+I21</f>
        <v>611335</v>
      </c>
      <c r="J63" s="39"/>
      <c r="K63" s="87">
        <f>+K21</f>
        <v>743060</v>
      </c>
      <c r="L63" s="88"/>
      <c r="M63" s="104"/>
      <c r="N63" s="94"/>
      <c r="O63" s="95"/>
      <c r="P63" s="89"/>
      <c r="Q63" s="85"/>
      <c r="R63" s="88"/>
      <c r="S63" s="87">
        <f>+S21</f>
        <v>512539.76</v>
      </c>
      <c r="T63" s="87">
        <f>+T21</f>
        <v>350189</v>
      </c>
      <c r="U63" s="87">
        <f>+U21</f>
        <v>1341608.5900000001</v>
      </c>
      <c r="V63" s="87">
        <f>+V21</f>
        <v>408193.65</v>
      </c>
      <c r="W63" s="336">
        <f t="shared" ref="W63:AB63" si="12">+W21</f>
        <v>367253.75</v>
      </c>
      <c r="X63" s="88">
        <f t="shared" si="12"/>
        <v>457434</v>
      </c>
      <c r="Y63" s="87">
        <f t="shared" si="12"/>
        <v>453185.00000000012</v>
      </c>
      <c r="Z63" s="87">
        <f t="shared" si="12"/>
        <v>457434</v>
      </c>
      <c r="AA63" s="87">
        <f t="shared" si="12"/>
        <v>457434</v>
      </c>
      <c r="AB63" s="242">
        <f t="shared" si="12"/>
        <v>457434</v>
      </c>
      <c r="AD63"/>
      <c r="AE63"/>
      <c r="AF63"/>
      <c r="AG63"/>
      <c r="AH63"/>
      <c r="AI63"/>
      <c r="AJ63"/>
      <c r="AK63"/>
    </row>
    <row r="64" spans="1:37" ht="13.35" customHeight="1" x14ac:dyDescent="0.3">
      <c r="B64" s="2" t="s">
        <v>143</v>
      </c>
      <c r="C64" s="276"/>
      <c r="D64" s="276"/>
      <c r="E64" s="276"/>
      <c r="F64" s="276"/>
      <c r="G64" s="104"/>
      <c r="H64" s="104"/>
      <c r="I64" s="87">
        <f>-I36</f>
        <v>7473001.46</v>
      </c>
      <c r="J64" s="39"/>
      <c r="K64" s="87">
        <f>-K36</f>
        <v>8301335.7800000003</v>
      </c>
      <c r="L64" s="88"/>
      <c r="M64" s="87"/>
      <c r="N64" s="87"/>
      <c r="O64" s="242"/>
      <c r="P64" s="89"/>
      <c r="Q64" s="85"/>
      <c r="R64" s="88"/>
      <c r="S64" s="87">
        <f t="shared" ref="S64:V65" si="13">-S36</f>
        <v>7534707.5700000003</v>
      </c>
      <c r="T64" s="87">
        <f t="shared" si="13"/>
        <v>5894950.5700000003</v>
      </c>
      <c r="U64" s="87">
        <f t="shared" si="13"/>
        <v>4597824.3499999996</v>
      </c>
      <c r="V64" s="87">
        <f t="shared" si="13"/>
        <v>6321148.4299999997</v>
      </c>
      <c r="W64" s="336">
        <f t="shared" ref="W64:AB64" si="14">-W36</f>
        <v>6772893.0750000002</v>
      </c>
      <c r="X64" s="88">
        <f t="shared" si="14"/>
        <v>6805189.6799999997</v>
      </c>
      <c r="Y64" s="87">
        <f t="shared" si="14"/>
        <v>6846774.0000000028</v>
      </c>
      <c r="Z64" s="87">
        <f t="shared" si="14"/>
        <v>6858574.5774847493</v>
      </c>
      <c r="AA64" s="87">
        <f t="shared" si="14"/>
        <v>7787312.0129611921</v>
      </c>
      <c r="AB64" s="242">
        <f t="shared" si="14"/>
        <v>6591879.3399135107</v>
      </c>
      <c r="AD64"/>
      <c r="AE64"/>
      <c r="AF64"/>
      <c r="AG64"/>
      <c r="AH64"/>
      <c r="AI64"/>
      <c r="AJ64"/>
      <c r="AK64"/>
    </row>
    <row r="65" spans="1:37" ht="13.35" customHeight="1" x14ac:dyDescent="0.3">
      <c r="B65" s="2" t="str">
        <f>+B37</f>
        <v>Non-revenue generating offices and units</v>
      </c>
      <c r="C65" s="47"/>
      <c r="D65" s="47"/>
      <c r="E65" s="47"/>
      <c r="F65" s="47"/>
      <c r="G65" s="87"/>
      <c r="H65" s="87"/>
      <c r="I65" s="90">
        <f>-I37</f>
        <v>-17179138</v>
      </c>
      <c r="J65" s="39"/>
      <c r="K65" s="90">
        <f>-K37</f>
        <v>-17060913.300000001</v>
      </c>
      <c r="L65" s="88"/>
      <c r="M65" s="104"/>
      <c r="N65" s="94"/>
      <c r="O65" s="95"/>
      <c r="P65" s="89"/>
      <c r="Q65" s="85"/>
      <c r="R65" s="88"/>
      <c r="S65" s="90">
        <f t="shared" si="13"/>
        <v>-18574630</v>
      </c>
      <c r="T65" s="90">
        <f t="shared" si="13"/>
        <v>-19582986.509999998</v>
      </c>
      <c r="U65" s="90">
        <f t="shared" si="13"/>
        <v>-20018897.630000003</v>
      </c>
      <c r="V65" s="90">
        <f t="shared" si="13"/>
        <v>-21431034.289999999</v>
      </c>
      <c r="W65" s="340">
        <f>-W37-2</f>
        <v>-18552211</v>
      </c>
      <c r="X65" s="92">
        <f>-X37</f>
        <v>-18381684.736564763</v>
      </c>
      <c r="Y65" s="90">
        <f>-Y37</f>
        <v>-18814540.507546049</v>
      </c>
      <c r="Z65" s="90">
        <f>-Z37</f>
        <v>-19703118.750681907</v>
      </c>
      <c r="AA65" s="90">
        <f>-AA37</f>
        <v>-19768785.31161128</v>
      </c>
      <c r="AB65" s="243">
        <f>-AB37</f>
        <v>-19840022.170180317</v>
      </c>
      <c r="AD65"/>
      <c r="AE65"/>
      <c r="AF65"/>
      <c r="AG65"/>
      <c r="AH65"/>
      <c r="AI65"/>
      <c r="AJ65"/>
      <c r="AK65"/>
    </row>
    <row r="66" spans="1:37" ht="13.35" customHeight="1" x14ac:dyDescent="0.3">
      <c r="C66" s="47"/>
      <c r="D66" s="47"/>
      <c r="E66" s="47"/>
      <c r="F66" s="47"/>
      <c r="G66" s="87"/>
      <c r="H66" s="87"/>
      <c r="I66" s="87"/>
      <c r="J66" s="39"/>
      <c r="K66" s="87"/>
      <c r="L66" s="88"/>
      <c r="M66" s="104"/>
      <c r="N66" s="94"/>
      <c r="O66" s="95"/>
      <c r="P66" s="89"/>
      <c r="Q66" s="85"/>
      <c r="R66" s="88"/>
      <c r="S66" s="87"/>
      <c r="T66" s="87"/>
      <c r="U66" s="87"/>
      <c r="V66" s="87"/>
      <c r="W66" s="367"/>
      <c r="X66" s="88"/>
      <c r="Y66" s="87"/>
      <c r="Z66" s="87"/>
      <c r="AA66" s="87"/>
      <c r="AB66" s="242"/>
      <c r="AD66"/>
      <c r="AE66"/>
      <c r="AF66"/>
      <c r="AG66"/>
      <c r="AH66"/>
      <c r="AI66"/>
      <c r="AJ66"/>
      <c r="AK66"/>
    </row>
    <row r="67" spans="1:37" ht="13.35" customHeight="1" thickBot="1" x14ac:dyDescent="0.35">
      <c r="B67" s="2" t="s">
        <v>188</v>
      </c>
      <c r="C67" s="47"/>
      <c r="D67" s="47"/>
      <c r="E67" s="47"/>
      <c r="F67" s="47"/>
      <c r="G67" s="87"/>
      <c r="H67" s="87"/>
      <c r="I67" s="181">
        <f>SUM(I52:I65)</f>
        <v>-2137919.994090911</v>
      </c>
      <c r="J67" s="82"/>
      <c r="K67" s="181">
        <f>SUM(K52:K65)</f>
        <v>-209967.57999999821</v>
      </c>
      <c r="L67" s="83"/>
      <c r="M67" s="225"/>
      <c r="N67" s="368"/>
      <c r="O67" s="369"/>
      <c r="P67" s="84"/>
      <c r="Q67" s="80"/>
      <c r="R67" s="83"/>
      <c r="S67" s="181">
        <f>SUM(S52:S65)</f>
        <v>-4640467.9399999995</v>
      </c>
      <c r="T67" s="181">
        <f>SUM(T52:T65)</f>
        <v>-5138019.3699999936</v>
      </c>
      <c r="U67" s="181">
        <f>SUM(U52:U65)</f>
        <v>-440230.19000000507</v>
      </c>
      <c r="V67" s="181">
        <f>SUM(V52:V65)</f>
        <v>7900006.8200000003</v>
      </c>
      <c r="W67" s="354">
        <f t="shared" ref="W67:AB67" si="15">SUM(W52:W65)</f>
        <v>-3392582.6550000012</v>
      </c>
      <c r="X67" s="182">
        <f t="shared" si="15"/>
        <v>-1618206.0127723981</v>
      </c>
      <c r="Y67" s="181">
        <f t="shared" si="15"/>
        <v>242784.58931057528</v>
      </c>
      <c r="Z67" s="181">
        <f t="shared" si="15"/>
        <v>1731930.8974070251</v>
      </c>
      <c r="AA67" s="181">
        <f t="shared" si="15"/>
        <v>4625331.0313986316</v>
      </c>
      <c r="AB67" s="256">
        <f t="shared" si="15"/>
        <v>2911991.9934285954</v>
      </c>
      <c r="AD67"/>
      <c r="AE67"/>
      <c r="AF67"/>
      <c r="AG67"/>
      <c r="AH67"/>
      <c r="AI67"/>
      <c r="AJ67"/>
      <c r="AK67"/>
    </row>
    <row r="68" spans="1:37" ht="13.35" customHeight="1" thickTop="1" x14ac:dyDescent="0.3">
      <c r="C68" s="47"/>
      <c r="D68" s="47"/>
      <c r="E68" s="47"/>
      <c r="F68" s="47"/>
      <c r="G68" s="87"/>
      <c r="H68" s="87"/>
      <c r="I68" s="87"/>
      <c r="J68" s="39"/>
      <c r="K68" s="87"/>
      <c r="L68" s="88"/>
      <c r="M68" s="104"/>
      <c r="N68" s="94"/>
      <c r="O68" s="95"/>
      <c r="P68" s="89"/>
      <c r="Q68" s="85"/>
      <c r="R68" s="88"/>
      <c r="S68" s="87"/>
      <c r="T68" s="87"/>
      <c r="U68" s="87"/>
      <c r="V68" s="87"/>
      <c r="W68" s="336"/>
      <c r="X68" s="336"/>
      <c r="Y68" s="87"/>
      <c r="Z68" s="87"/>
      <c r="AA68" s="87"/>
      <c r="AB68" s="242"/>
      <c r="AC68" s="336"/>
      <c r="AD68"/>
      <c r="AE68"/>
      <c r="AF68"/>
      <c r="AG68"/>
      <c r="AH68"/>
      <c r="AI68"/>
      <c r="AJ68"/>
      <c r="AK68"/>
    </row>
    <row r="69" spans="1:37" ht="13.35" customHeight="1" x14ac:dyDescent="0.3">
      <c r="B69" s="2" t="str">
        <f>+B59</f>
        <v>Endowment Fund</v>
      </c>
      <c r="C69" s="47"/>
      <c r="D69" s="47"/>
      <c r="E69" s="47"/>
      <c r="F69" s="47"/>
      <c r="G69" s="87"/>
      <c r="H69" s="87"/>
      <c r="I69" s="87"/>
      <c r="J69" s="39"/>
      <c r="K69" s="87"/>
      <c r="L69" s="87"/>
      <c r="M69" s="104"/>
      <c r="N69" s="94"/>
      <c r="O69" s="94"/>
      <c r="P69" s="87"/>
      <c r="Q69" s="85"/>
      <c r="R69" s="87"/>
      <c r="S69" s="87"/>
      <c r="T69" s="87"/>
      <c r="U69" s="87"/>
      <c r="V69" s="87"/>
      <c r="W69" s="340">
        <f>-W59</f>
        <v>2655564</v>
      </c>
      <c r="X69" s="92">
        <f>-X59</f>
        <v>1668665.0103485002</v>
      </c>
      <c r="Y69" s="90">
        <f>-Y59</f>
        <v>-119166.520787674</v>
      </c>
      <c r="Z69" s="87"/>
      <c r="AA69" s="87"/>
      <c r="AB69" s="87"/>
      <c r="AC69" s="336"/>
      <c r="AD69"/>
      <c r="AE69"/>
      <c r="AF69"/>
      <c r="AG69"/>
      <c r="AH69"/>
      <c r="AI69"/>
      <c r="AJ69"/>
      <c r="AK69"/>
    </row>
    <row r="70" spans="1:37" ht="13.35" customHeight="1" x14ac:dyDescent="0.3">
      <c r="C70" s="47"/>
      <c r="D70" s="47"/>
      <c r="E70" s="47"/>
      <c r="F70" s="47"/>
      <c r="G70" s="87"/>
      <c r="H70" s="87"/>
      <c r="I70" s="87"/>
      <c r="J70" s="39"/>
      <c r="K70" s="87"/>
      <c r="L70" s="87"/>
      <c r="M70" s="104"/>
      <c r="N70" s="94"/>
      <c r="O70" s="94"/>
      <c r="P70" s="87"/>
      <c r="Q70" s="85"/>
      <c r="R70" s="87"/>
      <c r="S70" s="87"/>
      <c r="T70"/>
      <c r="U70" s="87"/>
      <c r="V70" s="87"/>
      <c r="W70" s="336"/>
      <c r="X70" s="336"/>
      <c r="Y70" s="87"/>
      <c r="Z70" s="87"/>
      <c r="AA70" s="87"/>
      <c r="AB70" s="87"/>
      <c r="AC70" s="336"/>
      <c r="AD70"/>
      <c r="AE70"/>
      <c r="AF70"/>
      <c r="AG70"/>
      <c r="AH70"/>
      <c r="AI70"/>
      <c r="AJ70"/>
      <c r="AK70"/>
    </row>
    <row r="71" spans="1:37" ht="13.35" customHeight="1" thickBot="1" x14ac:dyDescent="0.35">
      <c r="B71" s="2" t="s">
        <v>189</v>
      </c>
      <c r="C71" s="47"/>
      <c r="D71" s="47"/>
      <c r="E71" s="47"/>
      <c r="F71" s="47"/>
      <c r="G71" s="87"/>
      <c r="H71" s="87"/>
      <c r="I71" s="87"/>
      <c r="J71" s="39"/>
      <c r="K71" s="87"/>
      <c r="L71" s="87"/>
      <c r="M71" s="104"/>
      <c r="N71" s="94"/>
      <c r="O71" s="94"/>
      <c r="P71" s="87"/>
      <c r="Q71" s="85"/>
      <c r="R71" s="87"/>
      <c r="S71" s="87"/>
      <c r="T71" s="87"/>
      <c r="U71" s="87"/>
      <c r="V71" s="87"/>
      <c r="W71" s="354">
        <f>SUM(W67:W69)</f>
        <v>-737018.65500000119</v>
      </c>
      <c r="X71" s="182">
        <f>+X67+X69</f>
        <v>50458.997576102149</v>
      </c>
      <c r="Y71" s="466">
        <f>+Y67+Y69</f>
        <v>123618.06852290127</v>
      </c>
      <c r="Z71" s="87" t="s">
        <v>180</v>
      </c>
      <c r="AA71" s="87" t="s">
        <v>2</v>
      </c>
      <c r="AB71" s="87"/>
      <c r="AC71" s="336"/>
      <c r="AD71"/>
      <c r="AE71"/>
      <c r="AF71"/>
      <c r="AG71"/>
      <c r="AH71"/>
      <c r="AI71"/>
      <c r="AJ71"/>
      <c r="AK71"/>
    </row>
    <row r="72" spans="1:37" ht="13.35" customHeight="1" thickTop="1" x14ac:dyDescent="0.3">
      <c r="C72" s="47"/>
      <c r="D72" s="47"/>
      <c r="E72" s="47"/>
      <c r="F72" s="47"/>
      <c r="G72" s="87"/>
      <c r="H72" s="87"/>
      <c r="I72" s="87"/>
      <c r="J72" s="39"/>
      <c r="K72" s="87"/>
      <c r="L72" s="87"/>
      <c r="M72" s="104"/>
      <c r="N72" s="94"/>
      <c r="O72" s="94"/>
      <c r="P72" s="87"/>
      <c r="Q72" s="85"/>
      <c r="R72" s="87"/>
      <c r="S72" s="87"/>
      <c r="T72" s="87"/>
      <c r="U72" s="87"/>
      <c r="V72" s="87"/>
      <c r="W72" s="336"/>
      <c r="X72" s="336"/>
      <c r="Y72" s="87"/>
      <c r="Z72" s="87"/>
      <c r="AA72" s="87"/>
      <c r="AB72" s="87"/>
      <c r="AC72" s="336"/>
      <c r="AD72"/>
      <c r="AE72"/>
      <c r="AF72"/>
      <c r="AG72"/>
      <c r="AH72"/>
      <c r="AI72"/>
      <c r="AJ72"/>
      <c r="AK72"/>
    </row>
    <row r="73" spans="1:37" ht="12" customHeight="1" x14ac:dyDescent="0.3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87"/>
      <c r="V73" s="87"/>
      <c r="W73" s="336"/>
      <c r="X73" s="71"/>
      <c r="Y73"/>
      <c r="Z73"/>
      <c r="AA73" s="87"/>
      <c r="AB73" s="87"/>
      <c r="AC73" s="336"/>
      <c r="AD73"/>
      <c r="AE73"/>
      <c r="AF73"/>
      <c r="AG73"/>
      <c r="AH73"/>
      <c r="AI73"/>
      <c r="AJ73"/>
      <c r="AK73"/>
    </row>
    <row r="74" spans="1:37" ht="12" customHeight="1" x14ac:dyDescent="0.3">
      <c r="C74" s="47"/>
      <c r="D74" s="47"/>
      <c r="E74" s="47"/>
      <c r="F74" s="47"/>
      <c r="G74" s="87"/>
      <c r="H74" s="87"/>
      <c r="I74" s="87"/>
      <c r="J74" s="39"/>
      <c r="K74" s="87"/>
      <c r="L74" s="87"/>
      <c r="M74" s="87"/>
      <c r="N74" s="94"/>
      <c r="O74" s="94"/>
      <c r="P74" s="87"/>
      <c r="Q74" s="85"/>
      <c r="R74" s="87"/>
      <c r="S74" s="87"/>
      <c r="T74" s="87"/>
      <c r="U74" s="87"/>
      <c r="V74" s="87"/>
      <c r="W74" s="336"/>
      <c r="X74" s="336"/>
      <c r="Y74" s="87" t="s">
        <v>2</v>
      </c>
      <c r="Z74" s="87"/>
      <c r="AA74" s="87"/>
      <c r="AB74" s="242"/>
      <c r="AD74"/>
      <c r="AE74"/>
      <c r="AF74"/>
      <c r="AG74"/>
      <c r="AH74"/>
      <c r="AI74"/>
      <c r="AJ74"/>
      <c r="AK74"/>
    </row>
    <row r="75" spans="1:37" ht="12" customHeight="1" x14ac:dyDescent="0.3">
      <c r="A75" s="370" t="s">
        <v>139</v>
      </c>
      <c r="B75" s="371"/>
      <c r="C75" s="372"/>
      <c r="D75" s="372"/>
      <c r="E75" s="372"/>
      <c r="F75" s="372"/>
      <c r="G75" s="373"/>
      <c r="H75" s="373"/>
      <c r="I75" s="373"/>
      <c r="J75" s="374"/>
      <c r="K75" s="373"/>
      <c r="L75" s="373"/>
      <c r="M75" s="373"/>
      <c r="N75" s="373"/>
      <c r="O75" s="373"/>
      <c r="P75" s="373"/>
      <c r="Q75" s="375"/>
      <c r="R75" s="373"/>
      <c r="S75" s="373"/>
      <c r="T75" s="373"/>
      <c r="U75" s="373"/>
      <c r="V75" s="373"/>
      <c r="W75" s="376"/>
      <c r="X75" s="376"/>
      <c r="Y75" s="373"/>
      <c r="Z75" s="373"/>
      <c r="AA75" s="373"/>
      <c r="AB75" s="377"/>
      <c r="AD75"/>
      <c r="AE75"/>
      <c r="AF75"/>
      <c r="AG75"/>
      <c r="AH75"/>
      <c r="AI75"/>
      <c r="AJ75"/>
      <c r="AK75"/>
    </row>
    <row r="76" spans="1:37" ht="15" customHeight="1" x14ac:dyDescent="0.3">
      <c r="A76" s="378" t="s">
        <v>135</v>
      </c>
      <c r="B76" s="371"/>
      <c r="C76" s="379"/>
      <c r="D76" s="380"/>
      <c r="E76" s="380"/>
      <c r="F76" s="380"/>
      <c r="G76" s="380"/>
      <c r="H76" s="380"/>
      <c r="I76" s="381"/>
      <c r="J76" s="381"/>
      <c r="K76" s="381"/>
      <c r="L76" s="381"/>
      <c r="M76" s="381"/>
      <c r="N76" s="381"/>
      <c r="O76" s="381"/>
      <c r="P76" s="381"/>
      <c r="Q76" s="381"/>
      <c r="R76" s="381"/>
      <c r="S76" s="381"/>
      <c r="T76" s="380"/>
      <c r="U76" s="382"/>
      <c r="V76" s="382"/>
      <c r="W76" s="376"/>
      <c r="X76" s="435"/>
      <c r="Y76" s="381"/>
      <c r="Z76" s="381"/>
      <c r="AA76" s="373"/>
      <c r="AB76" s="377"/>
      <c r="AD76"/>
      <c r="AE76"/>
      <c r="AF76"/>
      <c r="AG76"/>
      <c r="AH76"/>
      <c r="AI76"/>
      <c r="AJ76"/>
      <c r="AK76"/>
    </row>
    <row r="77" spans="1:37" ht="12" customHeight="1" x14ac:dyDescent="0.3">
      <c r="A77" s="370"/>
      <c r="B77" s="371" t="s">
        <v>36</v>
      </c>
      <c r="C77" s="372">
        <v>3175280</v>
      </c>
      <c r="D77" s="372">
        <v>3281959</v>
      </c>
      <c r="E77" s="372">
        <v>3281959</v>
      </c>
      <c r="F77" s="372">
        <v>3211500</v>
      </c>
      <c r="G77" s="372">
        <v>3031812</v>
      </c>
      <c r="H77" s="373">
        <f>$H$25*H11</f>
        <v>3404074.608</v>
      </c>
      <c r="I77" s="373">
        <f>+'Detailed GF version'!I48</f>
        <v>2909301</v>
      </c>
      <c r="J77" s="374" t="e">
        <f>I77/#REF!</f>
        <v>#REF!</v>
      </c>
      <c r="K77" s="373">
        <f>+'Detailed GF version'!K48</f>
        <v>3208395</v>
      </c>
      <c r="L77" s="383">
        <v>3154944</v>
      </c>
      <c r="M77" s="373">
        <v>3202924</v>
      </c>
      <c r="N77" s="384">
        <f>-L77+M77</f>
        <v>47980</v>
      </c>
      <c r="O77" s="385">
        <f t="shared" ref="O77:O84" si="16">+N77/L77</f>
        <v>1.5207876906848427E-2</v>
      </c>
      <c r="P77" s="386">
        <f>3154944+47980</f>
        <v>3202924</v>
      </c>
      <c r="Q77" s="382">
        <v>3400889.7120000003</v>
      </c>
      <c r="R77" s="387">
        <v>3059965</v>
      </c>
      <c r="S77" s="373">
        <f>+'Detailed GF version'!S48</f>
        <v>2868183.53</v>
      </c>
      <c r="T77" s="373">
        <f>+'Detailed GF version'!T48</f>
        <v>2515371</v>
      </c>
      <c r="U77" s="373">
        <f>+'Detailed GF version'!U48</f>
        <v>2315192.02</v>
      </c>
      <c r="V77" s="373">
        <f>+'Detailed GF version'!X48</f>
        <v>2472411.1</v>
      </c>
      <c r="W77" s="376">
        <f>+'Detailed GF version'!Y48</f>
        <v>2476143</v>
      </c>
      <c r="X77" s="401">
        <f>+'Detailed GF version'!Z48</f>
        <v>2475188.7999999998</v>
      </c>
      <c r="Y77" s="373">
        <f>+'Detailed GF version'!AA48</f>
        <v>2447438.0000000019</v>
      </c>
      <c r="Z77" s="373">
        <f>+'Detailed GF version'!AB48</f>
        <v>2582959.7249500002</v>
      </c>
      <c r="AA77" s="373">
        <f>+'Detailed GF version'!AC48</f>
        <v>2636037.0422820053</v>
      </c>
      <c r="AB77" s="377">
        <f>+'Detailed GF version'!AD48</f>
        <v>2689087.7793382281</v>
      </c>
      <c r="AD77"/>
      <c r="AE77"/>
      <c r="AF77"/>
      <c r="AG77"/>
      <c r="AH77"/>
      <c r="AI77"/>
      <c r="AJ77"/>
      <c r="AK77"/>
    </row>
    <row r="78" spans="1:37" ht="12" customHeight="1" x14ac:dyDescent="0.3">
      <c r="A78" s="370"/>
      <c r="B78" s="371" t="s">
        <v>37</v>
      </c>
      <c r="C78" s="372">
        <v>1980089</v>
      </c>
      <c r="D78" s="372">
        <v>2260421</v>
      </c>
      <c r="E78" s="372">
        <v>2005880</v>
      </c>
      <c r="F78" s="372">
        <v>2363698</v>
      </c>
      <c r="G78" s="372">
        <v>2162644</v>
      </c>
      <c r="H78" s="373">
        <f>$H$25*H12</f>
        <v>2561842.8000000003</v>
      </c>
      <c r="I78" s="373">
        <f>+'Detailed GF version'!I49</f>
        <v>2482732</v>
      </c>
      <c r="J78" s="374" t="e">
        <f>I78/#REF!</f>
        <v>#REF!</v>
      </c>
      <c r="K78" s="373">
        <f>+'Detailed GF version'!K49</f>
        <v>2344365</v>
      </c>
      <c r="L78" s="383">
        <v>2467047</v>
      </c>
      <c r="M78" s="373">
        <v>2369577</v>
      </c>
      <c r="N78" s="384">
        <f>-L78+M78</f>
        <v>-97470</v>
      </c>
      <c r="O78" s="385">
        <f t="shared" si="16"/>
        <v>-3.9508773039184091E-2</v>
      </c>
      <c r="P78" s="386">
        <f>2467047-97470</f>
        <v>2369577</v>
      </c>
      <c r="Q78" s="382">
        <v>2607000</v>
      </c>
      <c r="R78" s="387">
        <v>2516068</v>
      </c>
      <c r="S78" s="373">
        <f>+'Detailed GF version'!S49</f>
        <v>2503052.04</v>
      </c>
      <c r="T78" s="373">
        <f>+'Detailed GF version'!T49</f>
        <v>755560</v>
      </c>
      <c r="U78" s="373">
        <f>+'Detailed GF version'!U49</f>
        <v>661258.39</v>
      </c>
      <c r="V78" s="373">
        <f>+'Detailed GF version'!X49</f>
        <v>1397120.75</v>
      </c>
      <c r="W78" s="376">
        <f>+'Detailed GF version'!Y49</f>
        <v>1866825</v>
      </c>
      <c r="X78" s="401">
        <f>+'Detailed GF version'!Z49</f>
        <v>1876572</v>
      </c>
      <c r="Y78" s="373">
        <f>+'Detailed GF version'!AA49</f>
        <v>1575427</v>
      </c>
      <c r="Z78" s="373">
        <f>+'Detailed GF version'!AB49</f>
        <v>1900963.7783000001</v>
      </c>
      <c r="AA78" s="373">
        <f>+'Detailed GF version'!AC49</f>
        <v>2053040.8805640002</v>
      </c>
      <c r="AB78" s="377">
        <f>+'Detailed GF version'!AD49</f>
        <v>1361786.7586050001</v>
      </c>
      <c r="AD78"/>
      <c r="AE78"/>
      <c r="AF78"/>
      <c r="AG78"/>
      <c r="AH78"/>
      <c r="AI78"/>
      <c r="AJ78"/>
      <c r="AK78"/>
    </row>
    <row r="79" spans="1:37" ht="12" customHeight="1" x14ac:dyDescent="0.3">
      <c r="A79" s="370"/>
      <c r="B79" s="371" t="s">
        <v>77</v>
      </c>
      <c r="C79" s="372"/>
      <c r="D79" s="372"/>
      <c r="E79" s="372"/>
      <c r="F79" s="372"/>
      <c r="G79" s="372"/>
      <c r="H79" s="373"/>
      <c r="I79" s="373"/>
      <c r="J79" s="374"/>
      <c r="K79" s="373"/>
      <c r="L79" s="383"/>
      <c r="M79" s="373"/>
      <c r="N79" s="384"/>
      <c r="O79" s="385"/>
      <c r="P79" s="386"/>
      <c r="Q79" s="382"/>
      <c r="R79" s="387"/>
      <c r="S79" s="382"/>
      <c r="T79" s="382"/>
      <c r="U79" s="382"/>
      <c r="V79" s="373">
        <f>+'Detailed GF version'!X50</f>
        <v>126148.67</v>
      </c>
      <c r="W79" s="376">
        <f>+'Detailed GF version'!Y50</f>
        <v>179137.08500000002</v>
      </c>
      <c r="X79" s="401">
        <f>+'Detailed GF version'!Z50</f>
        <v>183380</v>
      </c>
      <c r="Y79" s="373">
        <f>+'Detailed GF version'!AA50</f>
        <v>202592.99999999965</v>
      </c>
      <c r="Z79" s="373">
        <f>+'Detailed GF version'!AB50</f>
        <v>211118.82</v>
      </c>
      <c r="AA79" s="373">
        <f>+'Detailed GF version'!AC50</f>
        <v>226952.73150000002</v>
      </c>
      <c r="AB79" s="377">
        <f>+'Detailed GF version'!AD50</f>
        <v>243974.18636250001</v>
      </c>
      <c r="AD79"/>
      <c r="AE79"/>
      <c r="AF79"/>
      <c r="AG79"/>
      <c r="AH79"/>
      <c r="AI79"/>
      <c r="AJ79"/>
      <c r="AK79"/>
    </row>
    <row r="80" spans="1:37" ht="12" customHeight="1" x14ac:dyDescent="0.3">
      <c r="A80" s="370"/>
      <c r="B80" s="371" t="s">
        <v>38</v>
      </c>
      <c r="C80" s="372">
        <v>1982298</v>
      </c>
      <c r="D80" s="372">
        <v>1549550</v>
      </c>
      <c r="E80" s="372">
        <v>1915658.99</v>
      </c>
      <c r="F80" s="372">
        <v>1652971</v>
      </c>
      <c r="G80" s="372">
        <v>2034562</v>
      </c>
      <c r="H80" s="373">
        <f>I80</f>
        <v>1601847.4600000002</v>
      </c>
      <c r="I80" s="373">
        <f>+'Detailed GF version'!I51</f>
        <v>1601847.4600000002</v>
      </c>
      <c r="J80" s="374" t="e">
        <f>I80/#REF!</f>
        <v>#REF!</v>
      </c>
      <c r="K80" s="373">
        <f>+'Detailed GF version'!K51</f>
        <v>2153165.7400000002</v>
      </c>
      <c r="L80" s="388">
        <v>2164009</v>
      </c>
      <c r="M80" s="373">
        <v>2120988</v>
      </c>
      <c r="N80" s="384">
        <f>-L80+M80</f>
        <v>-43021</v>
      </c>
      <c r="O80" s="385">
        <f t="shared" si="16"/>
        <v>-1.9880231551717205E-2</v>
      </c>
      <c r="P80" s="389">
        <f>2164009-43021</f>
        <v>2120988</v>
      </c>
      <c r="Q80" s="390">
        <v>1581970</v>
      </c>
      <c r="R80" s="387">
        <v>1638403</v>
      </c>
      <c r="S80" s="382">
        <f>+'Detailed GF version'!S51</f>
        <v>1563354.06</v>
      </c>
      <c r="T80" s="382">
        <f>+Divisions!F64</f>
        <v>2255853.5700000003</v>
      </c>
      <c r="U80" s="373">
        <f>+Divisions!G64</f>
        <v>1011561.3400000001</v>
      </c>
      <c r="V80" s="373">
        <f>+Divisions!H64</f>
        <v>1856743.5</v>
      </c>
      <c r="W80" s="376">
        <f>+Divisions!I64</f>
        <v>1883552.99</v>
      </c>
      <c r="X80" s="401">
        <f>+Divisions!J64</f>
        <v>1346046.8800000001</v>
      </c>
      <c r="Y80" s="373">
        <f>+Divisions!K64</f>
        <v>1976523.0000000009</v>
      </c>
      <c r="Z80" s="373">
        <f>+Divisions!L64</f>
        <v>1484227.9956574999</v>
      </c>
      <c r="AA80" s="373">
        <f>+Divisions!M64</f>
        <v>2166850.5277790753</v>
      </c>
      <c r="AB80" s="377">
        <f>+Divisions!N64</f>
        <v>1566216.8838998657</v>
      </c>
      <c r="AD80"/>
      <c r="AE80"/>
      <c r="AF80"/>
      <c r="AG80"/>
      <c r="AH80"/>
      <c r="AI80"/>
      <c r="AJ80"/>
      <c r="AK80"/>
    </row>
    <row r="81" spans="1:37" ht="12" customHeight="1" x14ac:dyDescent="0.3">
      <c r="A81" s="370"/>
      <c r="B81" s="371" t="s">
        <v>39</v>
      </c>
      <c r="C81" s="372">
        <v>17526</v>
      </c>
      <c r="D81" s="372">
        <v>16735</v>
      </c>
      <c r="E81" s="372">
        <v>16362</v>
      </c>
      <c r="F81" s="372">
        <v>16365</v>
      </c>
      <c r="G81" s="372">
        <v>16348</v>
      </c>
      <c r="H81" s="373">
        <f>I81</f>
        <v>16832</v>
      </c>
      <c r="I81" s="373">
        <f>+'Detailed GF version'!I52</f>
        <v>16832</v>
      </c>
      <c r="J81" s="374" t="e">
        <f>I81/#REF!</f>
        <v>#REF!</v>
      </c>
      <c r="K81" s="373">
        <f>+'Detailed GF version'!K52</f>
        <v>18853.04</v>
      </c>
      <c r="L81" s="383">
        <v>19020</v>
      </c>
      <c r="M81" s="373">
        <v>19020</v>
      </c>
      <c r="N81" s="384">
        <f>-L81+M81</f>
        <v>0</v>
      </c>
      <c r="O81" s="385">
        <f t="shared" si="16"/>
        <v>0</v>
      </c>
      <c r="P81" s="386">
        <v>19020</v>
      </c>
      <c r="Q81" s="390">
        <v>16000</v>
      </c>
      <c r="R81" s="387">
        <v>18720</v>
      </c>
      <c r="S81" s="373">
        <f>+'Detailed GF version'!S52</f>
        <v>19371</v>
      </c>
      <c r="T81" s="373">
        <f>+'Detailed GF version'!T52</f>
        <v>19199</v>
      </c>
      <c r="U81" s="373">
        <f>+'Detailed GF version'!U52</f>
        <v>18777.62</v>
      </c>
      <c r="V81" s="373">
        <f>+'Detailed GF version'!X52</f>
        <v>19211.91</v>
      </c>
      <c r="W81" s="376">
        <f>+'Detailed GF version'!Y52</f>
        <v>17384</v>
      </c>
      <c r="X81" s="401">
        <f>+'Detailed GF version'!Z52</f>
        <v>18274</v>
      </c>
      <c r="Y81" s="373">
        <f>+'Detailed GF version'!AA52</f>
        <v>18670.000000000004</v>
      </c>
      <c r="Z81" s="373">
        <f>+'Detailed GF version'!AB52</f>
        <v>22560.52</v>
      </c>
      <c r="AA81" s="373">
        <f>+'Detailed GF version'!AC52</f>
        <v>22560.52</v>
      </c>
      <c r="AB81" s="377">
        <f>+'Detailed GF version'!AD52</f>
        <v>22560.52</v>
      </c>
      <c r="AD81"/>
      <c r="AE81"/>
      <c r="AF81"/>
      <c r="AG81"/>
      <c r="AH81"/>
      <c r="AI81"/>
      <c r="AJ81"/>
      <c r="AK81"/>
    </row>
    <row r="82" spans="1:37" ht="12" customHeight="1" x14ac:dyDescent="0.3">
      <c r="A82" s="370"/>
      <c r="B82" s="371" t="s">
        <v>40</v>
      </c>
      <c r="C82" s="391">
        <v>463960</v>
      </c>
      <c r="D82" s="391">
        <v>523096</v>
      </c>
      <c r="E82" s="391">
        <v>350300.51</v>
      </c>
      <c r="F82" s="391">
        <v>413229</v>
      </c>
      <c r="G82" s="391">
        <v>601115</v>
      </c>
      <c r="H82" s="392">
        <v>530444</v>
      </c>
      <c r="I82" s="392">
        <f>+'Detailed GF version'!I53</f>
        <v>462289</v>
      </c>
      <c r="J82" s="393" t="e">
        <f>I82/#REF!</f>
        <v>#REF!</v>
      </c>
      <c r="K82" s="392">
        <f>+'Detailed GF version'!K53</f>
        <v>576557</v>
      </c>
      <c r="L82" s="394">
        <v>752804</v>
      </c>
      <c r="M82" s="392">
        <v>670000</v>
      </c>
      <c r="N82" s="391">
        <f>-L82+M82</f>
        <v>-82804</v>
      </c>
      <c r="O82" s="395">
        <f t="shared" si="16"/>
        <v>-0.10999410205046732</v>
      </c>
      <c r="P82" s="396">
        <f>752804-402804+320000</f>
        <v>670000</v>
      </c>
      <c r="Q82" s="397">
        <v>550000</v>
      </c>
      <c r="R82" s="398">
        <v>563360</v>
      </c>
      <c r="S82" s="392">
        <f>+'Detailed GF version'!S53</f>
        <v>580746.93999999994</v>
      </c>
      <c r="T82" s="392">
        <f>+'Detailed GF version'!T53</f>
        <v>348967</v>
      </c>
      <c r="U82" s="392">
        <f>+'Detailed GF version'!U53</f>
        <v>591034.98</v>
      </c>
      <c r="V82" s="392">
        <f>+'Detailed GF version'!X53</f>
        <v>449512.50000000006</v>
      </c>
      <c r="W82" s="399">
        <f>+'Detailed GF version'!Y53</f>
        <v>349851</v>
      </c>
      <c r="X82" s="468">
        <f>+'Detailed GF version'!Z53</f>
        <v>905728</v>
      </c>
      <c r="Y82" s="392">
        <f>+'Detailed GF version'!AA53</f>
        <v>626123.00000000035</v>
      </c>
      <c r="Z82" s="392">
        <f>+'Detailed GF version'!AB53</f>
        <v>656743.73857724923</v>
      </c>
      <c r="AA82" s="392">
        <f>+'Detailed GF version'!AC53</f>
        <v>681870.31083611166</v>
      </c>
      <c r="AB82" s="414">
        <f>+'Detailed GF version'!AD53</f>
        <v>708253.21170791739</v>
      </c>
      <c r="AD82"/>
      <c r="AE82"/>
      <c r="AF82"/>
      <c r="AG82"/>
      <c r="AH82"/>
      <c r="AI82"/>
      <c r="AJ82"/>
      <c r="AK82"/>
    </row>
    <row r="83" spans="1:37" ht="12.75" hidden="1" customHeight="1" x14ac:dyDescent="0.3">
      <c r="A83" s="370"/>
      <c r="B83" s="400"/>
      <c r="C83" s="372"/>
      <c r="D83" s="372"/>
      <c r="E83" s="372"/>
      <c r="F83" s="372"/>
      <c r="G83" s="373"/>
      <c r="H83" s="373"/>
      <c r="I83" s="373"/>
      <c r="J83" s="374"/>
      <c r="K83" s="373"/>
      <c r="L83" s="401"/>
      <c r="M83" s="373"/>
      <c r="N83" s="373"/>
      <c r="O83" s="385" t="e">
        <f t="shared" si="16"/>
        <v>#DIV/0!</v>
      </c>
      <c r="P83" s="402"/>
      <c r="Q83" s="375"/>
      <c r="R83" s="401"/>
      <c r="S83" s="373"/>
      <c r="T83" s="373"/>
      <c r="U83" s="373"/>
      <c r="V83" s="373"/>
      <c r="W83" s="376"/>
      <c r="X83" s="376"/>
      <c r="Y83" s="373"/>
      <c r="Z83" s="373"/>
      <c r="AA83" s="373"/>
      <c r="AB83" s="377"/>
      <c r="AD83"/>
      <c r="AE83"/>
      <c r="AF83"/>
      <c r="AG83"/>
      <c r="AH83"/>
      <c r="AI83"/>
      <c r="AJ83"/>
      <c r="AK83"/>
    </row>
    <row r="84" spans="1:37" ht="13.35" hidden="1" customHeight="1" x14ac:dyDescent="0.3">
      <c r="A84" s="370"/>
      <c r="B84" s="371"/>
      <c r="C84" s="372"/>
      <c r="D84" s="372"/>
      <c r="E84" s="372"/>
      <c r="F84" s="372"/>
      <c r="G84" s="373"/>
      <c r="H84" s="373"/>
      <c r="I84" s="373"/>
      <c r="J84" s="374"/>
      <c r="K84" s="373"/>
      <c r="L84" s="401"/>
      <c r="M84" s="373"/>
      <c r="N84" s="373"/>
      <c r="O84" s="385" t="e">
        <f t="shared" si="16"/>
        <v>#DIV/0!</v>
      </c>
      <c r="P84" s="402"/>
      <c r="Q84" s="375"/>
      <c r="R84" s="401"/>
      <c r="S84" s="373"/>
      <c r="T84" s="373"/>
      <c r="U84" s="373"/>
      <c r="V84" s="373"/>
      <c r="W84" s="376"/>
      <c r="X84" s="376"/>
      <c r="Y84" s="373"/>
      <c r="Z84" s="373"/>
      <c r="AA84" s="373"/>
      <c r="AB84" s="377"/>
      <c r="AD84"/>
      <c r="AE84"/>
      <c r="AF84"/>
      <c r="AG84"/>
      <c r="AH84"/>
      <c r="AI84"/>
      <c r="AJ84"/>
      <c r="AK84"/>
    </row>
    <row r="85" spans="1:37" ht="12" customHeight="1" x14ac:dyDescent="0.3">
      <c r="A85" s="370"/>
      <c r="B85" s="371"/>
      <c r="C85" s="384"/>
      <c r="D85" s="384"/>
      <c r="E85" s="384"/>
      <c r="F85" s="384"/>
      <c r="G85" s="373"/>
      <c r="H85" s="373"/>
      <c r="I85" s="373"/>
      <c r="J85" s="374"/>
      <c r="K85" s="373"/>
      <c r="L85" s="401"/>
      <c r="M85" s="373"/>
      <c r="N85" s="373"/>
      <c r="O85" s="377"/>
      <c r="P85" s="402"/>
      <c r="Q85" s="373"/>
      <c r="R85" s="401"/>
      <c r="S85" s="373"/>
      <c r="T85" s="373"/>
      <c r="U85" s="373"/>
      <c r="V85" s="373"/>
      <c r="W85" s="376"/>
      <c r="X85" s="376"/>
      <c r="Y85" s="373"/>
      <c r="Z85" s="373"/>
      <c r="AA85" s="373"/>
      <c r="AB85" s="377"/>
      <c r="AD85"/>
      <c r="AE85"/>
      <c r="AF85"/>
      <c r="AG85"/>
      <c r="AH85"/>
      <c r="AI85"/>
      <c r="AJ85"/>
      <c r="AK85"/>
    </row>
    <row r="86" spans="1:37" ht="12" customHeight="1" thickBot="1" x14ac:dyDescent="0.3">
      <c r="A86" s="370"/>
      <c r="B86" s="371" t="s">
        <v>41</v>
      </c>
      <c r="C86" s="403">
        <f>SUM(C76:C82)</f>
        <v>7619153</v>
      </c>
      <c r="D86" s="403">
        <f>SUM(D76:D82)</f>
        <v>7631761</v>
      </c>
      <c r="E86" s="403">
        <f>SUM(E76:E82)</f>
        <v>7570160.5</v>
      </c>
      <c r="F86" s="403">
        <f>SUM(F76:F82)</f>
        <v>7657763</v>
      </c>
      <c r="G86" s="404">
        <f>SUM(G76:G82)</f>
        <v>7846481</v>
      </c>
      <c r="H86" s="403">
        <f>SUM(H77:H82)</f>
        <v>8115040.8679999998</v>
      </c>
      <c r="I86" s="405">
        <f>SUM(I76:I82)</f>
        <v>7473001.46</v>
      </c>
      <c r="J86" s="405" t="e">
        <f>I86/#REF!</f>
        <v>#REF!</v>
      </c>
      <c r="K86" s="405">
        <f t="shared" ref="K86:P86" si="17">SUM(K76:K82)</f>
        <v>8301335.7800000003</v>
      </c>
      <c r="L86" s="406">
        <f t="shared" si="17"/>
        <v>8557824</v>
      </c>
      <c r="M86" s="405">
        <f>SUM(M76:M82)</f>
        <v>8382509</v>
      </c>
      <c r="N86" s="405">
        <f>SUM(N77:N84)</f>
        <v>-175315</v>
      </c>
      <c r="O86" s="407">
        <f>+N86/L86</f>
        <v>-2.0485931937838403E-2</v>
      </c>
      <c r="P86" s="408">
        <f t="shared" si="17"/>
        <v>8382509</v>
      </c>
      <c r="Q86" s="405">
        <v>8155859.7120000003</v>
      </c>
      <c r="R86" s="406">
        <f>SUM(R76:R82)</f>
        <v>7796516</v>
      </c>
      <c r="S86" s="405">
        <f>SUM(S76:S82)</f>
        <v>7534707.5700000003</v>
      </c>
      <c r="T86" s="405">
        <f>SUM(T76:T82)</f>
        <v>5894950.5700000003</v>
      </c>
      <c r="U86" s="405">
        <f>SUM(U77:U82)</f>
        <v>4597824.3499999996</v>
      </c>
      <c r="V86" s="405">
        <f>SUM(V77:V82)</f>
        <v>6321148.4299999997</v>
      </c>
      <c r="W86" s="409">
        <f t="shared" ref="W86:AB86" si="18">SUM(W76:W82)</f>
        <v>6772893.0750000002</v>
      </c>
      <c r="X86" s="406">
        <f t="shared" si="18"/>
        <v>6805189.6799999997</v>
      </c>
      <c r="Y86" s="405">
        <f t="shared" si="18"/>
        <v>6846774.0000000028</v>
      </c>
      <c r="Z86" s="405">
        <f t="shared" si="18"/>
        <v>6858574.5774847493</v>
      </c>
      <c r="AA86" s="405">
        <f t="shared" si="18"/>
        <v>7787312.0129611921</v>
      </c>
      <c r="AB86" s="410">
        <f t="shared" si="18"/>
        <v>6591879.3399135107</v>
      </c>
      <c r="AD86" s="79"/>
      <c r="AF86" s="79"/>
    </row>
    <row r="87" spans="1:37" ht="12" customHeight="1" thickTop="1" x14ac:dyDescent="0.3">
      <c r="H87" s="2"/>
      <c r="J87" s="39"/>
      <c r="L87" s="29"/>
      <c r="N87" s="30"/>
      <c r="O87" s="31"/>
      <c r="P87" s="64"/>
      <c r="Q87"/>
      <c r="R87" s="71"/>
      <c r="S87"/>
      <c r="W87" s="334"/>
      <c r="X87" s="334"/>
      <c r="AB87"/>
    </row>
    <row r="88" spans="1:37" ht="12" customHeight="1" x14ac:dyDescent="0.3">
      <c r="H88" s="2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D88" s="54"/>
    </row>
    <row r="89" spans="1:37" ht="14.7" hidden="1" customHeight="1" x14ac:dyDescent="0.3">
      <c r="A89" s="3" t="s">
        <v>42</v>
      </c>
      <c r="H89" s="2"/>
      <c r="I89" s="120"/>
      <c r="J89" s="105"/>
      <c r="K89" s="120"/>
      <c r="L89" s="29"/>
      <c r="M89" s="120"/>
      <c r="N89" s="30"/>
      <c r="O89" s="31"/>
      <c r="P89" s="64"/>
      <c r="Q89"/>
      <c r="R89" s="71"/>
      <c r="S89"/>
      <c r="W89" s="332"/>
      <c r="X89" s="334"/>
      <c r="AB89" s="239"/>
    </row>
    <row r="90" spans="1:37" ht="13.35" hidden="1" customHeight="1" x14ac:dyDescent="0.25">
      <c r="A90" s="121"/>
      <c r="B90" s="121"/>
      <c r="C90" s="122"/>
      <c r="D90" s="123"/>
      <c r="E90" s="122"/>
      <c r="F90" s="122"/>
      <c r="G90" s="122"/>
      <c r="H90" s="118"/>
      <c r="I90" s="124"/>
      <c r="J90" s="125"/>
      <c r="K90" s="124"/>
      <c r="L90" s="126"/>
      <c r="M90" s="124"/>
      <c r="N90" s="127"/>
      <c r="O90" s="128"/>
      <c r="P90" s="129"/>
      <c r="Q90" s="122"/>
      <c r="R90" s="126"/>
      <c r="S90" s="122"/>
      <c r="T90" s="122"/>
      <c r="U90" s="122"/>
      <c r="V90" s="122"/>
      <c r="W90" s="362"/>
      <c r="X90" s="343"/>
      <c r="Y90" s="122"/>
      <c r="Z90" s="122"/>
      <c r="AA90" s="122"/>
      <c r="AB90" s="247"/>
    </row>
    <row r="91" spans="1:37" ht="13.35" hidden="1" customHeight="1" x14ac:dyDescent="0.25">
      <c r="A91" s="3" t="s">
        <v>43</v>
      </c>
      <c r="C91" s="123"/>
      <c r="D91" s="123"/>
      <c r="E91" s="123"/>
      <c r="F91" s="123"/>
      <c r="G91" s="123"/>
      <c r="H91" s="130"/>
      <c r="I91" s="131"/>
      <c r="J91" s="105"/>
      <c r="K91" s="131"/>
      <c r="L91" s="132"/>
      <c r="M91" s="131"/>
      <c r="N91" s="133"/>
      <c r="O91" s="134"/>
      <c r="P91" s="135"/>
      <c r="Q91" s="123"/>
      <c r="R91" s="132"/>
      <c r="S91" s="123"/>
      <c r="T91" s="123"/>
      <c r="U91" s="123"/>
      <c r="V91" s="123"/>
      <c r="W91" s="363"/>
      <c r="X91" s="345"/>
      <c r="Y91" s="123"/>
      <c r="Z91" s="123"/>
      <c r="AA91" s="123"/>
      <c r="AB91" s="248"/>
    </row>
    <row r="92" spans="1:37" ht="13.35" hidden="1" customHeight="1" x14ac:dyDescent="0.25">
      <c r="A92" s="3" t="s">
        <v>44</v>
      </c>
      <c r="C92" s="123">
        <v>0</v>
      </c>
      <c r="D92" s="123">
        <v>34092</v>
      </c>
      <c r="E92" s="123">
        <v>0</v>
      </c>
      <c r="F92" s="123">
        <v>0</v>
      </c>
      <c r="G92" s="123"/>
      <c r="H92" s="130"/>
      <c r="I92" s="131"/>
      <c r="J92" s="105"/>
      <c r="K92" s="131"/>
      <c r="L92" s="132"/>
      <c r="M92" s="131"/>
      <c r="N92" s="133"/>
      <c r="O92" s="134"/>
      <c r="P92" s="135"/>
      <c r="Q92" s="123"/>
      <c r="R92" s="132"/>
      <c r="S92" s="123"/>
      <c r="T92" s="123"/>
      <c r="U92" s="123"/>
      <c r="V92" s="123"/>
      <c r="W92" s="363"/>
      <c r="X92" s="345"/>
      <c r="Y92" s="123"/>
      <c r="Z92" s="123"/>
      <c r="AA92" s="123"/>
      <c r="AB92" s="248"/>
    </row>
    <row r="93" spans="1:37" ht="13.35" hidden="1" customHeight="1" x14ac:dyDescent="0.25">
      <c r="A93" s="3" t="s">
        <v>45</v>
      </c>
      <c r="C93" s="123">
        <v>0</v>
      </c>
      <c r="D93" s="123">
        <v>0</v>
      </c>
      <c r="E93" s="123">
        <v>0</v>
      </c>
      <c r="F93" s="123">
        <v>0</v>
      </c>
      <c r="G93" s="123">
        <v>139758</v>
      </c>
      <c r="H93" s="130"/>
      <c r="I93" s="131">
        <v>943772</v>
      </c>
      <c r="J93" s="105"/>
      <c r="K93" s="131"/>
      <c r="L93" s="132">
        <v>1325525</v>
      </c>
      <c r="M93" s="131"/>
      <c r="N93" s="133"/>
      <c r="O93" s="134"/>
      <c r="P93" s="135">
        <v>1325525</v>
      </c>
      <c r="Q93" s="123">
        <v>1160414</v>
      </c>
      <c r="R93" s="132"/>
      <c r="S93" s="123"/>
      <c r="T93" s="123">
        <v>1160414</v>
      </c>
      <c r="U93" s="123">
        <v>1160414</v>
      </c>
      <c r="V93" s="123">
        <v>1160414</v>
      </c>
      <c r="W93" s="363">
        <v>1160414</v>
      </c>
      <c r="X93" s="345">
        <v>1160414</v>
      </c>
      <c r="Y93" s="123">
        <v>1160414</v>
      </c>
      <c r="Z93" s="123">
        <v>1160414</v>
      </c>
      <c r="AA93" s="123"/>
      <c r="AB93" s="248">
        <v>1160414</v>
      </c>
    </row>
    <row r="94" spans="1:37" ht="14.7" hidden="1" customHeight="1" x14ac:dyDescent="0.3">
      <c r="A94" s="3" t="s">
        <v>46</v>
      </c>
      <c r="C94" s="123"/>
      <c r="D94" s="123"/>
      <c r="E94" s="123"/>
      <c r="F94" s="123"/>
      <c r="G94" s="123">
        <v>0</v>
      </c>
      <c r="H94" s="2"/>
      <c r="I94" s="120"/>
      <c r="J94" s="105"/>
      <c r="K94" s="120"/>
      <c r="L94" s="29"/>
      <c r="M94" s="120"/>
      <c r="N94" s="30"/>
      <c r="O94" s="31"/>
      <c r="P94" s="64"/>
      <c r="Q94"/>
      <c r="R94" s="71"/>
      <c r="S94"/>
      <c r="W94" s="332"/>
      <c r="X94" s="334"/>
      <c r="AB94" s="239"/>
    </row>
    <row r="95" spans="1:37" ht="13.35" hidden="1" customHeight="1" x14ac:dyDescent="0.25">
      <c r="A95" s="3" t="s">
        <v>47</v>
      </c>
      <c r="C95" s="123">
        <v>0</v>
      </c>
      <c r="D95" s="123">
        <v>0</v>
      </c>
      <c r="E95" s="123">
        <v>0</v>
      </c>
      <c r="F95" s="123">
        <v>0</v>
      </c>
      <c r="G95" s="123">
        <v>350000</v>
      </c>
      <c r="H95" s="130"/>
      <c r="I95" s="131"/>
      <c r="J95" s="105"/>
      <c r="K95" s="131"/>
      <c r="L95" s="132"/>
      <c r="M95" s="131"/>
      <c r="N95" s="133"/>
      <c r="O95" s="134"/>
      <c r="P95" s="135"/>
      <c r="Q95" s="123"/>
      <c r="R95" s="132"/>
      <c r="S95" s="123"/>
      <c r="T95" s="123"/>
      <c r="U95" s="123"/>
      <c r="V95" s="123"/>
      <c r="W95" s="363"/>
      <c r="X95" s="345"/>
      <c r="Y95" s="123"/>
      <c r="Z95" s="123"/>
      <c r="AA95" s="123"/>
      <c r="AB95" s="248"/>
    </row>
    <row r="96" spans="1:37" ht="14.7" hidden="1" customHeight="1" x14ac:dyDescent="0.3">
      <c r="D96" s="123"/>
      <c r="E96" s="123"/>
      <c r="F96" s="123"/>
      <c r="H96" s="2"/>
      <c r="I96" s="120"/>
      <c r="J96" s="105"/>
      <c r="K96" s="120"/>
      <c r="L96" s="29"/>
      <c r="M96" s="120"/>
      <c r="N96" s="30"/>
      <c r="O96" s="31"/>
      <c r="P96" s="64"/>
      <c r="Q96"/>
      <c r="R96" s="71"/>
      <c r="S96"/>
      <c r="W96" s="332"/>
      <c r="X96" s="334"/>
      <c r="AB96" s="239"/>
    </row>
    <row r="97" spans="1:32" ht="13.35" hidden="1" customHeight="1" x14ac:dyDescent="0.25">
      <c r="A97" s="2" t="s">
        <v>48</v>
      </c>
      <c r="C97" s="136">
        <v>0</v>
      </c>
      <c r="D97" s="136">
        <f>SUM(D92:D96)</f>
        <v>34092</v>
      </c>
      <c r="E97" s="136">
        <f>SUM(E92:E96)</f>
        <v>0</v>
      </c>
      <c r="F97" s="136">
        <f>SUM(F92:F96)</f>
        <v>0</v>
      </c>
      <c r="G97" s="136">
        <f>SUM(G92:G96)</f>
        <v>489758</v>
      </c>
      <c r="H97" s="136"/>
      <c r="I97" s="137">
        <f>SUM(I92:I96)</f>
        <v>943772</v>
      </c>
      <c r="J97" s="138"/>
      <c r="K97" s="137"/>
      <c r="L97" s="139">
        <f>SUM(L92:L96)</f>
        <v>1325525</v>
      </c>
      <c r="M97" s="137"/>
      <c r="N97" s="140"/>
      <c r="O97" s="141"/>
      <c r="P97" s="142">
        <f>SUM(P92:P96)</f>
        <v>1325525</v>
      </c>
      <c r="Q97" s="136">
        <v>1160414</v>
      </c>
      <c r="R97" s="139"/>
      <c r="S97" s="136"/>
      <c r="T97" s="136">
        <f>SUM(T92:T96)</f>
        <v>1160414</v>
      </c>
      <c r="U97" s="136">
        <f>SUM(U92:U96)</f>
        <v>1160414</v>
      </c>
      <c r="V97" s="136">
        <v>1160414</v>
      </c>
      <c r="W97" s="364">
        <f>SUM(W92:W96)</f>
        <v>1160414</v>
      </c>
      <c r="X97" s="347">
        <f>SUM(X92:X96)</f>
        <v>1160414</v>
      </c>
      <c r="Y97" s="136">
        <f>SUM(Y92:Y96)</f>
        <v>1160414</v>
      </c>
      <c r="Z97" s="136">
        <f>SUM(Z92:Z96)</f>
        <v>1160414</v>
      </c>
      <c r="AA97" s="136"/>
      <c r="AB97" s="249">
        <f>SUM(AB92:AB96)</f>
        <v>1160414</v>
      </c>
    </row>
    <row r="98" spans="1:32" ht="14.7" hidden="1" customHeight="1" x14ac:dyDescent="0.3">
      <c r="H98" s="2"/>
      <c r="I98" s="120"/>
      <c r="J98" s="105"/>
      <c r="K98" s="120"/>
      <c r="L98" s="29"/>
      <c r="M98" s="120"/>
      <c r="N98" s="30"/>
      <c r="O98" s="31"/>
      <c r="P98" s="64"/>
      <c r="Q98"/>
      <c r="R98" s="71"/>
      <c r="S98"/>
      <c r="W98" s="332"/>
      <c r="X98" s="334"/>
      <c r="AB98" s="239"/>
    </row>
    <row r="99" spans="1:32" ht="13.35" hidden="1" customHeight="1" x14ac:dyDescent="0.25">
      <c r="A99" s="3" t="s">
        <v>49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4"/>
      <c r="I99" s="145">
        <v>0</v>
      </c>
      <c r="J99" s="105"/>
      <c r="K99" s="145"/>
      <c r="L99" s="146">
        <v>0</v>
      </c>
      <c r="M99" s="145"/>
      <c r="N99" s="147"/>
      <c r="O99" s="148"/>
      <c r="P99" s="149">
        <v>0</v>
      </c>
      <c r="Q99" s="143">
        <v>0</v>
      </c>
      <c r="R99" s="146"/>
      <c r="S99" s="143"/>
      <c r="T99" s="143">
        <v>0</v>
      </c>
      <c r="U99" s="143">
        <v>0</v>
      </c>
      <c r="V99" s="143">
        <v>0</v>
      </c>
      <c r="W99" s="365">
        <v>0</v>
      </c>
      <c r="X99" s="349">
        <v>0</v>
      </c>
      <c r="Y99" s="143">
        <v>0</v>
      </c>
      <c r="Z99" s="143">
        <v>0</v>
      </c>
      <c r="AA99" s="143"/>
      <c r="AB99" s="250">
        <v>0</v>
      </c>
    </row>
    <row r="100" spans="1:32" ht="13.35" hidden="1" customHeight="1" x14ac:dyDescent="0.25">
      <c r="C100" s="143"/>
      <c r="D100" s="143"/>
      <c r="E100" s="143"/>
      <c r="F100" s="143"/>
      <c r="G100" s="143"/>
      <c r="H100" s="144"/>
      <c r="I100" s="145"/>
      <c r="J100" s="105"/>
      <c r="K100" s="145"/>
      <c r="L100" s="146"/>
      <c r="M100" s="145"/>
      <c r="N100" s="147"/>
      <c r="O100" s="148"/>
      <c r="P100" s="149"/>
      <c r="Q100" s="143"/>
      <c r="R100" s="146"/>
      <c r="S100" s="143"/>
      <c r="T100" s="143"/>
      <c r="U100" s="143"/>
      <c r="V100" s="143"/>
      <c r="W100" s="365"/>
      <c r="X100" s="349"/>
      <c r="Y100" s="143"/>
      <c r="Z100" s="143"/>
      <c r="AA100" s="143"/>
      <c r="AB100" s="250"/>
    </row>
    <row r="101" spans="1:32" ht="13.35" hidden="1" customHeight="1" x14ac:dyDescent="0.25">
      <c r="A101" s="2" t="s">
        <v>50</v>
      </c>
      <c r="C101" s="136">
        <v>8893786.0899999999</v>
      </c>
      <c r="D101" s="136">
        <f>+D97+D86</f>
        <v>7665853</v>
      </c>
      <c r="E101" s="136">
        <f>+E97+E86</f>
        <v>7570160.5</v>
      </c>
      <c r="F101" s="136">
        <f>+F97+F86</f>
        <v>7657763</v>
      </c>
      <c r="G101" s="136">
        <f>+G97+G86</f>
        <v>8336239</v>
      </c>
      <c r="H101" s="136"/>
      <c r="I101" s="137">
        <f>+I97+I86</f>
        <v>8416773.4600000009</v>
      </c>
      <c r="J101" s="138"/>
      <c r="K101" s="137"/>
      <c r="L101" s="139">
        <f>+L97+L86</f>
        <v>9883349</v>
      </c>
      <c r="M101" s="137"/>
      <c r="N101" s="140"/>
      <c r="O101" s="141"/>
      <c r="P101" s="142">
        <f>+P97+P86</f>
        <v>9708034</v>
      </c>
      <c r="Q101" s="136">
        <v>9316273.7120000012</v>
      </c>
      <c r="R101" s="139"/>
      <c r="S101" s="136"/>
      <c r="T101" s="136">
        <f>+T97+T86</f>
        <v>7055364.5700000003</v>
      </c>
      <c r="U101" s="136">
        <f>+U97+U86</f>
        <v>5758238.3499999996</v>
      </c>
      <c r="V101" s="136">
        <v>5758238.3499999996</v>
      </c>
      <c r="W101" s="364">
        <f>+W97+W86</f>
        <v>7933307.0750000002</v>
      </c>
      <c r="X101" s="347">
        <f>+X97+X86</f>
        <v>7965603.6799999997</v>
      </c>
      <c r="Y101" s="136">
        <f>+Y97+Y86</f>
        <v>8007188.0000000028</v>
      </c>
      <c r="Z101" s="136">
        <f>+Z97+Z86</f>
        <v>8018988.5774847493</v>
      </c>
      <c r="AA101" s="136"/>
      <c r="AB101" s="249">
        <f>+AB97+AB86</f>
        <v>7752293.3399135107</v>
      </c>
    </row>
    <row r="102" spans="1:32" ht="13.35" hidden="1" customHeight="1" x14ac:dyDescent="0.25">
      <c r="C102" s="150">
        <v>-5.3650085140555137E-2</v>
      </c>
      <c r="D102" s="150"/>
      <c r="E102" s="150"/>
      <c r="F102" s="150"/>
      <c r="G102" s="150"/>
      <c r="H102" s="151"/>
      <c r="I102" s="152"/>
      <c r="J102" s="105"/>
      <c r="K102" s="152"/>
      <c r="L102" s="153"/>
      <c r="M102" s="152"/>
      <c r="N102" s="154"/>
      <c r="O102" s="155"/>
      <c r="P102" s="156"/>
      <c r="Q102" s="150"/>
      <c r="R102" s="153"/>
      <c r="S102" s="150"/>
      <c r="T102" s="150"/>
      <c r="U102" s="150"/>
      <c r="V102" s="150"/>
      <c r="W102" s="366"/>
      <c r="X102" s="351"/>
      <c r="Y102" s="150"/>
      <c r="Z102" s="150"/>
      <c r="AA102" s="150"/>
      <c r="AB102" s="251"/>
    </row>
    <row r="103" spans="1:32" ht="14.7" hidden="1" customHeight="1" x14ac:dyDescent="0.3">
      <c r="H103" s="2"/>
      <c r="I103" s="120"/>
      <c r="J103" s="105"/>
      <c r="K103" s="120"/>
      <c r="L103" s="29"/>
      <c r="M103" s="120"/>
      <c r="N103" s="30"/>
      <c r="O103" s="31"/>
      <c r="P103" s="64"/>
      <c r="Q103"/>
      <c r="R103" s="71"/>
      <c r="S103"/>
      <c r="W103" s="332"/>
      <c r="X103" s="334"/>
      <c r="AB103" s="239"/>
    </row>
    <row r="104" spans="1:32" ht="12" customHeight="1" x14ac:dyDescent="0.3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 s="164"/>
      <c r="AD104"/>
      <c r="AE104"/>
      <c r="AF104" s="169"/>
    </row>
    <row r="105" spans="1:32" ht="12" hidden="1" customHeight="1" x14ac:dyDescent="0.3">
      <c r="B105" s="2" t="s">
        <v>58</v>
      </c>
      <c r="C105" s="164"/>
      <c r="D105" s="164"/>
      <c r="E105" s="164"/>
      <c r="F105" s="164"/>
      <c r="G105" s="164"/>
      <c r="H105" s="82"/>
      <c r="I105" s="164"/>
      <c r="J105" s="164"/>
      <c r="K105" s="164"/>
      <c r="L105" s="191"/>
      <c r="M105" s="164"/>
      <c r="N105" s="192"/>
      <c r="O105" s="45"/>
      <c r="P105" s="193"/>
      <c r="Q105" s="164"/>
      <c r="R105" s="191" t="e">
        <f>IF(#REF!&lt;0,-#REF!)</f>
        <v>#REF!</v>
      </c>
      <c r="S105" s="164"/>
      <c r="T105" s="164" t="e">
        <f>IF(#REF!&lt;0,-#REF!)</f>
        <v>#REF!</v>
      </c>
      <c r="U105" s="164" t="e">
        <f>IF(#REF!&lt;0,-#REF!)</f>
        <v>#REF!</v>
      </c>
      <c r="V105" s="164" t="e">
        <v>#REF!</v>
      </c>
      <c r="W105" s="191" t="e">
        <f>IF(#REF!&lt;0,-#REF!)</f>
        <v>#REF!</v>
      </c>
      <c r="X105" s="164" t="e">
        <f>IF(#REF!&lt;0,-#REF!)</f>
        <v>#REF!</v>
      </c>
      <c r="Y105" s="164" t="e">
        <f>IF(#REF!&lt;0,-#REF!,0)</f>
        <v>#REF!</v>
      </c>
      <c r="Z105" s="164" t="e">
        <f>IF(#REF!&lt;0,-#REF!,0)</f>
        <v>#REF!</v>
      </c>
      <c r="AA105" s="164"/>
      <c r="AB105" s="257" t="e">
        <f>IF(#REF!&lt;0,-#REF!,0)</f>
        <v>#REF!</v>
      </c>
      <c r="AD105"/>
      <c r="AE105"/>
      <c r="AF105" s="169"/>
    </row>
    <row r="106" spans="1:32" ht="12" hidden="1" customHeight="1" x14ac:dyDescent="0.3">
      <c r="C106" s="164"/>
      <c r="D106" s="164"/>
      <c r="E106" s="164"/>
      <c r="F106" s="164"/>
      <c r="G106" s="164"/>
      <c r="H106" s="82"/>
      <c r="I106" s="164"/>
      <c r="J106" s="164"/>
      <c r="K106" s="164"/>
      <c r="L106" s="191"/>
      <c r="M106" s="164"/>
      <c r="N106" s="192"/>
      <c r="O106" s="45"/>
      <c r="P106" s="193"/>
      <c r="Q106" s="164"/>
      <c r="R106" s="191"/>
      <c r="S106" s="164"/>
      <c r="T106" s="164"/>
      <c r="U106" s="164"/>
      <c r="V106" s="164"/>
      <c r="W106" s="191"/>
      <c r="X106" s="164"/>
      <c r="Y106" s="164"/>
      <c r="Z106" s="164"/>
      <c r="AA106" s="164"/>
      <c r="AB106" s="257"/>
      <c r="AD106"/>
      <c r="AE106"/>
      <c r="AF106" s="169"/>
    </row>
    <row r="107" spans="1:32" ht="12" hidden="1" customHeight="1" x14ac:dyDescent="0.3">
      <c r="B107" s="2" t="s">
        <v>59</v>
      </c>
      <c r="C107" s="164"/>
      <c r="D107" s="164"/>
      <c r="E107" s="164"/>
      <c r="F107" s="164"/>
      <c r="G107" s="164"/>
      <c r="H107" s="82"/>
      <c r="I107" s="164"/>
      <c r="J107" s="164"/>
      <c r="K107" s="164"/>
      <c r="L107" s="194"/>
      <c r="M107" s="195"/>
      <c r="N107" s="196"/>
      <c r="O107" s="197"/>
      <c r="P107" s="198"/>
      <c r="Q107" s="195"/>
      <c r="R107" s="199" t="e">
        <f>#REF!+R105</f>
        <v>#REF!</v>
      </c>
      <c r="S107" s="164"/>
      <c r="T107" s="195" t="e">
        <f>#REF!+T105</f>
        <v>#REF!</v>
      </c>
      <c r="U107" s="195" t="e">
        <f>#REF!+U105</f>
        <v>#REF!</v>
      </c>
      <c r="V107" s="434" t="e">
        <v>#REF!</v>
      </c>
      <c r="W107" s="199" t="e">
        <f>#REF!+W105</f>
        <v>#REF!</v>
      </c>
      <c r="X107" s="200" t="e">
        <f>#REF!+X105</f>
        <v>#REF!</v>
      </c>
      <c r="Y107" s="200" t="e">
        <f>#REF!+Y105</f>
        <v>#REF!</v>
      </c>
      <c r="Z107" s="200" t="e">
        <f>#REF!+Z105</f>
        <v>#REF!</v>
      </c>
      <c r="AA107" s="200"/>
      <c r="AB107" s="258" t="e">
        <f>#REF!+AB105</f>
        <v>#REF!</v>
      </c>
      <c r="AD107"/>
      <c r="AE107"/>
      <c r="AF107" s="169"/>
    </row>
    <row r="108" spans="1:32" ht="12" hidden="1" customHeight="1" x14ac:dyDescent="0.25">
      <c r="C108" s="164"/>
      <c r="D108" s="164"/>
      <c r="E108" s="164"/>
      <c r="F108" s="164"/>
      <c r="G108" s="164"/>
      <c r="H108" s="82"/>
      <c r="I108" s="164"/>
      <c r="J108" s="164"/>
      <c r="K108" s="164"/>
      <c r="L108" s="191"/>
      <c r="M108" s="164"/>
      <c r="N108" s="192"/>
      <c r="O108" s="45"/>
      <c r="P108" s="193"/>
      <c r="Q108" s="164"/>
      <c r="R108" s="191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34"/>
      <c r="AF108" s="169"/>
    </row>
    <row r="109" spans="1:32" ht="12" hidden="1" customHeight="1" x14ac:dyDescent="0.25">
      <c r="C109" s="164"/>
      <c r="D109" s="164"/>
      <c r="E109" s="164"/>
      <c r="F109" s="164"/>
      <c r="G109" s="164"/>
      <c r="H109" s="82"/>
      <c r="I109" s="164"/>
      <c r="J109" s="164"/>
      <c r="K109" s="164"/>
      <c r="L109" s="191"/>
      <c r="M109" s="164"/>
      <c r="N109" s="192"/>
      <c r="O109" s="45"/>
      <c r="P109" s="193"/>
      <c r="Q109" s="164"/>
      <c r="R109" s="191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34"/>
      <c r="AF109" s="169"/>
    </row>
    <row r="110" spans="1:32" ht="12" hidden="1" customHeight="1" x14ac:dyDescent="0.25">
      <c r="C110" s="164"/>
      <c r="D110" s="164"/>
      <c r="E110" s="164"/>
      <c r="F110" s="164"/>
      <c r="G110" s="164"/>
      <c r="H110" s="82"/>
      <c r="I110" s="164"/>
      <c r="J110" s="164"/>
      <c r="K110" s="164"/>
      <c r="L110" s="191"/>
      <c r="M110" s="164"/>
      <c r="N110" s="192"/>
      <c r="O110" s="45"/>
      <c r="P110" s="193"/>
      <c r="Q110" s="164"/>
      <c r="R110" s="191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34"/>
      <c r="AF110" s="169"/>
    </row>
    <row r="111" spans="1:32" ht="12" hidden="1" customHeight="1" x14ac:dyDescent="0.25">
      <c r="C111" s="164"/>
      <c r="D111" s="164"/>
      <c r="E111" s="164"/>
      <c r="F111" s="164"/>
      <c r="G111" s="164"/>
      <c r="H111" s="82"/>
      <c r="I111" s="164"/>
      <c r="J111" s="164"/>
      <c r="K111" s="164"/>
      <c r="L111" s="191"/>
      <c r="M111" s="164"/>
      <c r="N111" s="192"/>
      <c r="O111" s="45"/>
      <c r="P111" s="193"/>
      <c r="Q111" s="164"/>
      <c r="R111" s="191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34"/>
      <c r="AF111" s="169"/>
    </row>
    <row r="112" spans="1:32" ht="12" hidden="1" customHeight="1" x14ac:dyDescent="0.25">
      <c r="C112" s="164"/>
      <c r="D112" s="164"/>
      <c r="E112" s="164"/>
      <c r="F112" s="164"/>
      <c r="G112" s="164"/>
      <c r="H112" s="82"/>
      <c r="I112" s="164"/>
      <c r="J112" s="164"/>
      <c r="K112" s="164"/>
      <c r="L112" s="191"/>
      <c r="M112" s="164"/>
      <c r="N112" s="192"/>
      <c r="O112" s="45"/>
      <c r="P112" s="193"/>
      <c r="Q112" s="164"/>
      <c r="R112" s="191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34"/>
      <c r="AF112" s="169"/>
    </row>
    <row r="113" spans="2:32" ht="12" hidden="1" customHeight="1" x14ac:dyDescent="0.25">
      <c r="C113" s="164"/>
      <c r="D113" s="164"/>
      <c r="E113" s="164"/>
      <c r="F113" s="164"/>
      <c r="G113" s="164"/>
      <c r="H113" s="82"/>
      <c r="I113" s="164"/>
      <c r="J113" s="164"/>
      <c r="K113" s="164"/>
      <c r="L113" s="191"/>
      <c r="M113" s="164"/>
      <c r="N113" s="192"/>
      <c r="O113" s="45"/>
      <c r="P113" s="193"/>
      <c r="Q113" s="164"/>
      <c r="R113" s="191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34"/>
      <c r="AF113" s="169"/>
    </row>
    <row r="114" spans="2:32" ht="12" hidden="1" customHeight="1" x14ac:dyDescent="0.25">
      <c r="C114" s="164"/>
      <c r="D114" s="164"/>
      <c r="E114" s="164"/>
      <c r="F114" s="164"/>
      <c r="G114" s="164"/>
      <c r="H114" s="82"/>
      <c r="I114" s="164"/>
      <c r="J114" s="164"/>
      <c r="K114" s="164"/>
      <c r="L114" s="191"/>
      <c r="M114" s="164"/>
      <c r="N114" s="192"/>
      <c r="O114" s="45"/>
      <c r="P114" s="193"/>
      <c r="Q114" s="164"/>
      <c r="R114" s="191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34"/>
      <c r="AF114" s="169"/>
    </row>
    <row r="115" spans="2:32" ht="12" hidden="1" customHeight="1" x14ac:dyDescent="0.25">
      <c r="C115" s="164"/>
      <c r="D115" s="164"/>
      <c r="E115" s="164"/>
      <c r="F115" s="164"/>
      <c r="G115" s="164"/>
      <c r="H115" s="82"/>
      <c r="I115" s="164"/>
      <c r="J115" s="164"/>
      <c r="K115" s="164"/>
      <c r="L115" s="191"/>
      <c r="M115" s="164"/>
      <c r="N115" s="192"/>
      <c r="O115" s="45"/>
      <c r="P115" s="193"/>
      <c r="Q115" s="164"/>
      <c r="R115" s="191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34"/>
      <c r="AF115" s="169"/>
    </row>
    <row r="116" spans="2:32" ht="12" hidden="1" customHeight="1" x14ac:dyDescent="0.25">
      <c r="C116" s="164"/>
      <c r="D116" s="164"/>
      <c r="E116" s="164"/>
      <c r="F116" s="164"/>
      <c r="G116" s="164"/>
      <c r="H116" s="82"/>
      <c r="I116" s="164"/>
      <c r="J116" s="164"/>
      <c r="K116" s="164"/>
      <c r="L116" s="191"/>
      <c r="M116" s="164"/>
      <c r="N116" s="192"/>
      <c r="O116" s="45"/>
      <c r="P116" s="193"/>
      <c r="Q116" s="164"/>
      <c r="R116" s="191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34"/>
      <c r="AF116" s="169"/>
    </row>
    <row r="117" spans="2:32" ht="12" hidden="1" customHeight="1" x14ac:dyDescent="0.25">
      <c r="C117" s="164"/>
      <c r="D117" s="164"/>
      <c r="E117" s="164"/>
      <c r="F117" s="164"/>
      <c r="G117" s="164"/>
      <c r="H117" s="82"/>
      <c r="I117" s="164"/>
      <c r="J117" s="164"/>
      <c r="K117" s="164"/>
      <c r="L117" s="191"/>
      <c r="M117" s="164"/>
      <c r="N117" s="192"/>
      <c r="O117" s="45"/>
      <c r="P117" s="193"/>
      <c r="Q117" s="164"/>
      <c r="R117" s="191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34"/>
      <c r="AF117" s="169"/>
    </row>
    <row r="118" spans="2:32" ht="12" hidden="1" customHeight="1" x14ac:dyDescent="0.25">
      <c r="C118" s="164"/>
      <c r="D118" s="164"/>
      <c r="E118" s="164"/>
      <c r="F118" s="164"/>
      <c r="G118" s="164"/>
      <c r="H118" s="82"/>
      <c r="I118" s="164"/>
      <c r="J118" s="164"/>
      <c r="K118" s="164"/>
      <c r="L118" s="191"/>
      <c r="M118" s="164"/>
      <c r="N118" s="192"/>
      <c r="O118" s="45"/>
      <c r="P118" s="193"/>
      <c r="Q118" s="164"/>
      <c r="R118" s="191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34"/>
      <c r="AF118" s="169"/>
    </row>
    <row r="119" spans="2:32" ht="12" hidden="1" customHeight="1" x14ac:dyDescent="0.25">
      <c r="C119" s="164"/>
      <c r="D119" s="164"/>
      <c r="E119" s="164"/>
      <c r="F119" s="164"/>
      <c r="G119" s="164"/>
      <c r="H119" s="82"/>
      <c r="I119" s="164"/>
      <c r="J119" s="164"/>
      <c r="K119" s="164"/>
      <c r="L119" s="191"/>
      <c r="M119" s="164"/>
      <c r="N119" s="192"/>
      <c r="O119" s="45"/>
      <c r="P119" s="193"/>
      <c r="Q119" s="164"/>
      <c r="R119" s="191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34"/>
      <c r="AF119" s="169"/>
    </row>
    <row r="120" spans="2:32" ht="12" hidden="1" customHeight="1" x14ac:dyDescent="0.3">
      <c r="C120" s="164"/>
      <c r="D120" s="164"/>
      <c r="E120" s="164"/>
      <c r="F120" s="164"/>
      <c r="G120" s="164"/>
      <c r="H120" s="82"/>
      <c r="I120" s="164"/>
      <c r="J120" s="164"/>
      <c r="K120" s="164"/>
      <c r="L120" s="29"/>
      <c r="N120"/>
      <c r="O120" s="202"/>
      <c r="P120" s="193"/>
      <c r="Q120" s="164"/>
      <c r="R120" s="191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34"/>
      <c r="AF120" s="169"/>
    </row>
    <row r="121" spans="2:32" ht="12" hidden="1" customHeight="1" x14ac:dyDescent="0.3">
      <c r="B121" s="2" t="s">
        <v>60</v>
      </c>
      <c r="C121" s="90">
        <v>334878.98</v>
      </c>
      <c r="D121" s="90">
        <v>669757</v>
      </c>
      <c r="E121" s="90">
        <v>600665.90909090906</v>
      </c>
      <c r="F121" s="90">
        <v>360165.90909090906</v>
      </c>
      <c r="G121" s="90">
        <v>360165.90909090906</v>
      </c>
      <c r="H121" s="90">
        <v>360165.90909090906</v>
      </c>
      <c r="I121" s="90">
        <v>360165.90909090906</v>
      </c>
      <c r="J121"/>
      <c r="K121"/>
      <c r="L121" s="92">
        <v>360166</v>
      </c>
      <c r="M121" s="90">
        <v>360166</v>
      </c>
      <c r="N121"/>
      <c r="O121" s="202"/>
      <c r="P121" s="193"/>
      <c r="Q121" s="164"/>
      <c r="R121" s="92">
        <v>360166</v>
      </c>
      <c r="S121" s="87"/>
      <c r="T121" s="164">
        <v>264284</v>
      </c>
      <c r="U121" s="164">
        <v>168400</v>
      </c>
      <c r="V121" s="164">
        <v>168400</v>
      </c>
      <c r="W121" s="164"/>
      <c r="X121" s="164"/>
      <c r="Y121" s="164"/>
      <c r="Z121" s="164"/>
      <c r="AA121" s="164"/>
      <c r="AB121" s="164"/>
      <c r="AC121" s="34"/>
      <c r="AF121" s="169"/>
    </row>
    <row r="122" spans="2:32" ht="12" hidden="1" customHeight="1" x14ac:dyDescent="0.3">
      <c r="D122" s="203"/>
      <c r="F122"/>
      <c r="G122"/>
      <c r="H122"/>
      <c r="I122"/>
      <c r="J122"/>
      <c r="K122"/>
      <c r="L122" s="71"/>
      <c r="M122" s="204"/>
      <c r="N122"/>
      <c r="O122" s="202"/>
      <c r="P122" s="193"/>
      <c r="Q122" s="164"/>
      <c r="R122" s="71"/>
      <c r="S122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34"/>
      <c r="AF122" s="169"/>
    </row>
    <row r="123" spans="2:32" ht="12" hidden="1" customHeight="1" x14ac:dyDescent="0.3">
      <c r="D123" s="204"/>
      <c r="F123" s="181" t="e">
        <f>+#REF!-F121</f>
        <v>#REF!</v>
      </c>
      <c r="G123" s="181" t="e">
        <f>+#REF!-G121</f>
        <v>#REF!</v>
      </c>
      <c r="H123" s="181" t="e">
        <f>+#REF!-H121</f>
        <v>#REF!</v>
      </c>
      <c r="I123" s="181" t="e">
        <f>+#REF!-I121</f>
        <v>#REF!</v>
      </c>
      <c r="J123"/>
      <c r="K123"/>
      <c r="L123" s="205" t="e">
        <f>+#REF!-L121</f>
        <v>#REF!</v>
      </c>
      <c r="M123" s="206" t="e">
        <f>+#REF!-M121</f>
        <v>#REF!</v>
      </c>
      <c r="N123" s="207"/>
      <c r="O123" s="208"/>
      <c r="P123" s="193"/>
      <c r="Q123" s="164"/>
      <c r="R123" s="205" t="e">
        <f>+#REF!-R121</f>
        <v>#REF!</v>
      </c>
      <c r="S123" s="206"/>
      <c r="T123" s="209"/>
      <c r="U123" s="209"/>
      <c r="V123" s="209"/>
      <c r="W123" s="164"/>
      <c r="X123" s="164"/>
      <c r="Y123" s="164"/>
      <c r="Z123" s="164"/>
      <c r="AA123" s="164"/>
      <c r="AB123" s="164"/>
      <c r="AC123" s="34"/>
      <c r="AF123" s="169"/>
    </row>
    <row r="124" spans="2:32" ht="12" hidden="1" customHeight="1" x14ac:dyDescent="0.3">
      <c r="D124" s="204"/>
      <c r="G124" s="82"/>
      <c r="I124"/>
      <c r="J124"/>
      <c r="K124"/>
      <c r="L124"/>
      <c r="M124"/>
      <c r="N124"/>
      <c r="O124"/>
      <c r="P124" s="193"/>
      <c r="Q124" s="164"/>
      <c r="R124" s="164"/>
      <c r="S124" s="164"/>
      <c r="T124" s="164"/>
      <c r="U124" s="164"/>
      <c r="V124" s="164"/>
      <c r="W124" s="164"/>
      <c r="X124" s="164"/>
      <c r="Y124" s="34"/>
      <c r="AD124" s="169"/>
    </row>
    <row r="125" spans="2:32" ht="12" hidden="1" customHeight="1" x14ac:dyDescent="0.3">
      <c r="D125" s="204"/>
      <c r="G125" s="210"/>
      <c r="I125"/>
      <c r="J125"/>
      <c r="K125"/>
      <c r="L125"/>
      <c r="M125"/>
      <c r="N125"/>
      <c r="O125"/>
      <c r="P125" s="193"/>
      <c r="Q125" s="164"/>
      <c r="R125" s="164"/>
      <c r="S125" s="164"/>
      <c r="T125" s="164"/>
      <c r="U125" s="164"/>
      <c r="V125" s="164"/>
      <c r="W125" s="164"/>
      <c r="X125" s="164"/>
      <c r="Y125" s="34"/>
      <c r="AD125" s="169"/>
    </row>
    <row r="126" spans="2:32" ht="12" hidden="1" customHeight="1" x14ac:dyDescent="0.3">
      <c r="G126" s="87"/>
      <c r="I126"/>
      <c r="J126"/>
      <c r="K126"/>
      <c r="L126"/>
      <c r="M126"/>
      <c r="N126"/>
      <c r="O126"/>
      <c r="P126" s="193"/>
      <c r="Q126" s="164"/>
      <c r="R126" s="164"/>
      <c r="S126" s="164"/>
      <c r="T126" s="164"/>
      <c r="U126" s="164"/>
      <c r="V126" s="164"/>
      <c r="W126" s="164"/>
      <c r="X126" s="164"/>
      <c r="Y126" s="34"/>
      <c r="AD126" s="169"/>
    </row>
    <row r="127" spans="2:32" ht="12" hidden="1" customHeight="1" x14ac:dyDescent="0.3">
      <c r="I127"/>
      <c r="J127"/>
      <c r="K127"/>
      <c r="L127"/>
      <c r="M127"/>
      <c r="N127"/>
      <c r="O127"/>
      <c r="P127" s="193"/>
      <c r="Q127" s="164"/>
      <c r="R127" s="164"/>
      <c r="S127" s="164"/>
      <c r="T127" s="164"/>
      <c r="U127" s="164"/>
      <c r="V127" s="164"/>
      <c r="W127" s="164"/>
      <c r="X127" s="164"/>
      <c r="Y127" s="34"/>
      <c r="AD127" s="169"/>
    </row>
    <row r="128" spans="2:32" ht="12" hidden="1" customHeight="1" x14ac:dyDescent="0.3">
      <c r="G128" s="87"/>
      <c r="I128"/>
      <c r="J128"/>
      <c r="K128"/>
      <c r="L128"/>
      <c r="M128"/>
      <c r="N128"/>
      <c r="O128"/>
      <c r="P128" s="166"/>
      <c r="Q128" s="22"/>
      <c r="R128" s="22"/>
      <c r="S128" s="22"/>
      <c r="T128" s="22"/>
      <c r="U128" s="22"/>
      <c r="V128" s="22"/>
      <c r="W128" s="22"/>
      <c r="X128" s="22"/>
      <c r="Y128" s="34"/>
    </row>
    <row r="129" spans="2:25" ht="12" hidden="1" customHeight="1" x14ac:dyDescent="0.3">
      <c r="E129" s="87"/>
      <c r="F129" s="87"/>
      <c r="I129"/>
      <c r="J129"/>
      <c r="K129"/>
      <c r="L129"/>
      <c r="M129"/>
      <c r="N129"/>
      <c r="O129" s="22"/>
      <c r="P129" s="166"/>
      <c r="Q129" s="22"/>
      <c r="R129" s="22"/>
      <c r="S129" s="22"/>
      <c r="T129" s="211" t="e">
        <f>-#REF!</f>
        <v>#REF!</v>
      </c>
      <c r="U129" s="211" t="e">
        <f>-#REF!</f>
        <v>#REF!</v>
      </c>
      <c r="V129" s="211" t="e">
        <v>#REF!</v>
      </c>
      <c r="W129" s="22"/>
      <c r="X129" s="22"/>
      <c r="Y129" s="34"/>
    </row>
    <row r="130" spans="2:25" ht="12" hidden="1" customHeight="1" x14ac:dyDescent="0.3">
      <c r="E130" s="87"/>
      <c r="F130" s="87"/>
      <c r="I130"/>
      <c r="J130"/>
      <c r="K130"/>
      <c r="L130"/>
      <c r="M130"/>
      <c r="N130"/>
      <c r="O130" s="22"/>
      <c r="P130" s="166"/>
      <c r="Q130" s="22"/>
      <c r="R130" s="22"/>
      <c r="S130" s="22"/>
      <c r="T130" s="22"/>
      <c r="U130" s="22"/>
      <c r="V130" s="22"/>
      <c r="W130" s="22"/>
      <c r="X130" s="22"/>
      <c r="Y130" s="34"/>
    </row>
    <row r="131" spans="2:25" ht="12" hidden="1" customHeight="1" x14ac:dyDescent="0.3">
      <c r="E131" s="87"/>
      <c r="F131" s="87"/>
      <c r="I131"/>
      <c r="J131"/>
      <c r="K131"/>
      <c r="L131"/>
      <c r="M131"/>
      <c r="N131"/>
      <c r="O131" s="22"/>
      <c r="P131" s="166"/>
      <c r="Q131" s="22"/>
      <c r="R131" s="22"/>
      <c r="S131" s="22"/>
      <c r="T131" s="212" t="e">
        <f>#REF!+T129</f>
        <v>#REF!</v>
      </c>
      <c r="U131" s="212" t="e">
        <f>#REF!+U129</f>
        <v>#REF!</v>
      </c>
      <c r="V131" s="212" t="e">
        <v>#REF!</v>
      </c>
      <c r="W131" s="213"/>
      <c r="X131" s="214"/>
      <c r="Y131" s="34"/>
    </row>
    <row r="132" spans="2:25" ht="12" hidden="1" customHeight="1" x14ac:dyDescent="0.3">
      <c r="E132" s="87"/>
      <c r="F132" s="87"/>
      <c r="I132" s="215"/>
      <c r="J132" s="215"/>
      <c r="K132" s="216"/>
      <c r="L132" s="217"/>
      <c r="M132" s="217"/>
      <c r="N132" s="218"/>
      <c r="O132" s="165"/>
      <c r="P132" s="166"/>
      <c r="Q132" s="22"/>
      <c r="R132" s="22"/>
      <c r="S132" s="22"/>
      <c r="T132" s="22"/>
      <c r="U132" s="22"/>
      <c r="V132" s="22"/>
      <c r="W132" s="22"/>
      <c r="X132" s="22"/>
      <c r="Y132" s="34"/>
    </row>
    <row r="133" spans="2:25" ht="12" hidden="1" customHeight="1" x14ac:dyDescent="0.3">
      <c r="E133" s="87"/>
      <c r="F133" s="87"/>
      <c r="G133" s="87"/>
      <c r="I133" s="215"/>
      <c r="J133" s="215"/>
      <c r="K133" s="216"/>
      <c r="L133" s="217"/>
      <c r="M133" s="217"/>
      <c r="N133" s="218"/>
      <c r="O133" s="165"/>
      <c r="P133" s="166"/>
      <c r="Q133" s="22"/>
      <c r="R133" s="22"/>
      <c r="S133" s="22"/>
      <c r="T133" s="22"/>
      <c r="U133" s="22"/>
      <c r="V133" s="22"/>
      <c r="W133" s="22"/>
      <c r="X133" s="22"/>
      <c r="Y133" s="34"/>
    </row>
    <row r="134" spans="2:25" ht="12" hidden="1" customHeight="1" x14ac:dyDescent="0.3">
      <c r="E134" s="87"/>
      <c r="F134" s="87"/>
      <c r="G134" s="219"/>
      <c r="I134" s="215"/>
      <c r="J134" s="215"/>
      <c r="K134" s="216"/>
      <c r="L134" s="217"/>
      <c r="M134" s="217"/>
      <c r="N134" s="218"/>
      <c r="O134" s="165"/>
      <c r="P134" s="166"/>
      <c r="Q134" s="22"/>
      <c r="R134" s="22"/>
      <c r="S134" s="22"/>
      <c r="T134" s="22"/>
      <c r="U134" s="22"/>
      <c r="V134" s="22"/>
      <c r="W134" s="22"/>
      <c r="X134" s="22"/>
      <c r="Y134" s="34"/>
    </row>
    <row r="135" spans="2:25" ht="12" hidden="1" customHeight="1" x14ac:dyDescent="0.3">
      <c r="E135" s="87"/>
      <c r="F135" s="87"/>
      <c r="I135" s="215"/>
      <c r="J135" s="215"/>
      <c r="K135" s="216"/>
      <c r="L135" s="217"/>
      <c r="M135" s="217"/>
      <c r="N135" s="218"/>
      <c r="O135" s="165"/>
      <c r="P135" s="166"/>
      <c r="Q135" s="22"/>
      <c r="R135" s="22"/>
      <c r="S135" s="22"/>
      <c r="T135" s="22"/>
      <c r="U135" s="22"/>
      <c r="V135" s="22"/>
      <c r="W135" s="22"/>
      <c r="X135" s="22"/>
      <c r="Y135" s="34"/>
    </row>
    <row r="136" spans="2:25" ht="12" hidden="1" customHeight="1" x14ac:dyDescent="0.3">
      <c r="G136" s="87"/>
      <c r="I136" s="215"/>
      <c r="J136" s="215"/>
      <c r="K136" s="216"/>
      <c r="L136" s="217"/>
      <c r="M136" s="217"/>
      <c r="N136" s="218"/>
      <c r="O136" s="165"/>
      <c r="P136" s="166"/>
      <c r="Q136" s="22"/>
      <c r="R136" s="22"/>
      <c r="S136" s="22"/>
      <c r="T136" s="22"/>
      <c r="U136" s="22"/>
      <c r="V136" s="22"/>
      <c r="W136" s="22"/>
      <c r="X136" s="22"/>
      <c r="Y136" s="34"/>
    </row>
    <row r="137" spans="2:25" ht="12" hidden="1" customHeight="1" x14ac:dyDescent="0.3">
      <c r="I137" s="215"/>
      <c r="J137" s="215"/>
      <c r="K137" s="216"/>
      <c r="L137" s="217"/>
      <c r="M137" s="217"/>
      <c r="N137" s="218"/>
      <c r="O137" s="165"/>
      <c r="P137" s="166"/>
      <c r="Q137" s="22"/>
      <c r="R137" s="22"/>
      <c r="S137" s="22"/>
      <c r="T137" s="22"/>
      <c r="U137" s="22"/>
      <c r="V137" s="22"/>
      <c r="W137" s="22"/>
      <c r="X137" s="22"/>
      <c r="Y137" s="34"/>
    </row>
    <row r="138" spans="2:25" ht="12" hidden="1" customHeight="1" x14ac:dyDescent="0.3">
      <c r="I138" s="215"/>
      <c r="J138" s="215"/>
      <c r="K138" s="216"/>
      <c r="L138" s="217"/>
      <c r="M138" s="217"/>
      <c r="N138" s="218"/>
      <c r="O138" s="165"/>
      <c r="P138" s="166"/>
      <c r="Q138" s="22"/>
      <c r="R138" s="22"/>
      <c r="S138" s="22"/>
      <c r="T138" s="22"/>
      <c r="U138" s="22"/>
      <c r="V138" s="22"/>
      <c r="W138" s="22"/>
      <c r="X138" s="22"/>
      <c r="Y138" s="34"/>
    </row>
    <row r="139" spans="2:25" ht="12" hidden="1" customHeight="1" x14ac:dyDescent="0.3">
      <c r="F139" s="87"/>
      <c r="G139" s="87"/>
      <c r="I139" s="215"/>
      <c r="J139" s="215"/>
      <c r="K139" s="216"/>
      <c r="L139" s="217"/>
      <c r="M139" s="217"/>
      <c r="N139" s="218"/>
      <c r="O139" s="165"/>
      <c r="P139" s="166"/>
      <c r="Q139" s="22"/>
      <c r="R139" s="22"/>
      <c r="S139" s="22"/>
      <c r="T139" s="22"/>
      <c r="U139" s="22"/>
      <c r="V139" s="22"/>
      <c r="W139" s="22"/>
      <c r="X139" s="22"/>
      <c r="Y139" s="34"/>
    </row>
    <row r="140" spans="2:25" ht="12" hidden="1" customHeight="1" x14ac:dyDescent="0.3">
      <c r="F140" s="87"/>
      <c r="G140" s="219"/>
      <c r="I140" s="215"/>
      <c r="J140" s="215"/>
      <c r="K140" s="216"/>
      <c r="L140" s="217"/>
      <c r="M140" s="217"/>
      <c r="N140" s="218"/>
      <c r="O140" s="165"/>
      <c r="P140" s="166"/>
      <c r="Q140" s="22"/>
      <c r="R140" s="22"/>
      <c r="S140" s="22"/>
      <c r="T140" s="22"/>
      <c r="U140" s="22"/>
      <c r="V140" s="22"/>
      <c r="W140" s="22"/>
      <c r="X140" s="22"/>
      <c r="Y140" s="34"/>
    </row>
    <row r="141" spans="2:25" ht="12" hidden="1" customHeight="1" x14ac:dyDescent="0.25">
      <c r="B141" s="2" t="s">
        <v>61</v>
      </c>
      <c r="C141" s="181">
        <v>-1182226.6499999999</v>
      </c>
      <c r="D141" s="181">
        <v>110877.62000000104</v>
      </c>
      <c r="E141" s="181">
        <v>606587.03000000224</v>
      </c>
      <c r="F141" s="181">
        <v>279375.00000000105</v>
      </c>
      <c r="G141" s="185">
        <v>-1067552.9999999991</v>
      </c>
      <c r="H141" s="181">
        <v>31586.090909090941</v>
      </c>
      <c r="I141" s="181">
        <v>-1693795.9090909092</v>
      </c>
      <c r="J141" s="181">
        <v>-1576148</v>
      </c>
      <c r="K141" s="220">
        <v>-281413</v>
      </c>
      <c r="L141" s="221">
        <v>0.19310408545447438</v>
      </c>
      <c r="M141" s="221"/>
      <c r="N141" s="184">
        <v>-227071</v>
      </c>
      <c r="O141" s="165"/>
      <c r="P141" s="166"/>
      <c r="Q141" s="22"/>
      <c r="R141" s="22"/>
      <c r="S141" s="22"/>
      <c r="T141" s="22"/>
      <c r="U141" s="22"/>
      <c r="V141" s="22"/>
      <c r="W141" s="22"/>
      <c r="X141" s="22"/>
      <c r="Y141" s="34"/>
    </row>
    <row r="142" spans="2:25" ht="12" hidden="1" customHeight="1" x14ac:dyDescent="0.25">
      <c r="B142" s="2" t="s">
        <v>60</v>
      </c>
      <c r="C142" s="90">
        <v>334878.98</v>
      </c>
      <c r="D142" s="90">
        <v>669757</v>
      </c>
      <c r="E142" s="90">
        <v>600665.90909090906</v>
      </c>
      <c r="F142" s="90">
        <v>489665.90909090906</v>
      </c>
      <c r="G142" s="90">
        <v>369415.90909090906</v>
      </c>
      <c r="H142" s="90">
        <v>360165.90909090906</v>
      </c>
      <c r="I142" s="90">
        <f>H142</f>
        <v>360165.90909090906</v>
      </c>
      <c r="J142" s="90"/>
      <c r="K142" s="90">
        <v>360166</v>
      </c>
      <c r="L142" s="222">
        <v>360166</v>
      </c>
      <c r="M142" s="90"/>
      <c r="N142" s="179">
        <f>+L142-P142</f>
        <v>0</v>
      </c>
      <c r="O142" s="223">
        <f>+N142/L142</f>
        <v>0</v>
      </c>
      <c r="P142" s="93">
        <v>360166</v>
      </c>
      <c r="Q142" s="90">
        <v>264284.5</v>
      </c>
      <c r="R142" s="90"/>
      <c r="S142" s="90">
        <v>264284</v>
      </c>
      <c r="T142" s="90">
        <v>168400</v>
      </c>
      <c r="U142" s="90">
        <v>264283</v>
      </c>
      <c r="V142" s="90">
        <v>264283</v>
      </c>
      <c r="W142" s="90">
        <v>84200</v>
      </c>
      <c r="X142" s="90">
        <v>168400</v>
      </c>
      <c r="Y142" s="34">
        <v>84200</v>
      </c>
    </row>
    <row r="143" spans="2:25" ht="12" hidden="1" customHeight="1" x14ac:dyDescent="0.3">
      <c r="D143" s="203"/>
      <c r="G143" s="224"/>
      <c r="I143" s="204"/>
      <c r="J143" s="204"/>
      <c r="K143" s="204"/>
      <c r="L143" s="216"/>
      <c r="M143" s="204"/>
      <c r="N143" s="217"/>
      <c r="O143" s="217"/>
      <c r="P143" s="218"/>
      <c r="Q143" s="204"/>
      <c r="R143" s="204"/>
      <c r="S143" s="204"/>
      <c r="T143" s="204"/>
      <c r="U143" s="204"/>
      <c r="V143" s="204"/>
      <c r="W143" s="79"/>
      <c r="X143" s="79"/>
      <c r="Y143" s="34"/>
    </row>
    <row r="144" spans="2:25" ht="12" hidden="1" customHeight="1" x14ac:dyDescent="0.3">
      <c r="D144" s="204"/>
      <c r="G144" s="210"/>
      <c r="I144" s="215"/>
      <c r="J144" s="215"/>
      <c r="K144" s="215"/>
      <c r="L144" s="216"/>
      <c r="M144" s="204"/>
      <c r="N144" s="217"/>
      <c r="O144" s="217"/>
      <c r="P144" s="218"/>
      <c r="Q144" s="204"/>
      <c r="R144" s="204"/>
      <c r="S144" s="204"/>
      <c r="T144" s="204"/>
      <c r="U144" s="204"/>
      <c r="V144" s="204"/>
      <c r="W144" s="120"/>
      <c r="X144" s="120"/>
      <c r="Y144" s="34"/>
    </row>
    <row r="145" spans="4:25" ht="12" hidden="1" customHeight="1" x14ac:dyDescent="0.3">
      <c r="D145" s="204"/>
      <c r="G145" s="82"/>
      <c r="I145" s="215"/>
      <c r="J145" s="215"/>
      <c r="K145" s="215"/>
      <c r="L145" s="216"/>
      <c r="M145" s="204"/>
      <c r="N145" s="217"/>
      <c r="O145" s="217"/>
      <c r="P145" s="218"/>
      <c r="Q145" s="204"/>
      <c r="R145" s="204"/>
      <c r="S145" s="204"/>
      <c r="T145" s="204"/>
      <c r="U145" s="204"/>
      <c r="V145" s="204"/>
      <c r="W145" s="225"/>
      <c r="X145" s="225"/>
      <c r="Y145" s="34"/>
    </row>
    <row r="146" spans="4:25" ht="12" hidden="1" customHeight="1" x14ac:dyDescent="0.3">
      <c r="D146" s="204"/>
      <c r="G146" s="210"/>
      <c r="I146" s="215"/>
      <c r="J146" s="215"/>
      <c r="K146" s="215"/>
      <c r="L146" s="216"/>
      <c r="M146" s="204"/>
      <c r="N146" s="217"/>
      <c r="O146" s="217"/>
      <c r="P146" s="218"/>
      <c r="Q146" s="204"/>
      <c r="R146" s="204"/>
      <c r="S146" s="204"/>
      <c r="T146" s="204"/>
      <c r="U146" s="204"/>
      <c r="V146" s="204"/>
      <c r="W146" s="120"/>
      <c r="X146" s="120"/>
      <c r="Y146" s="34"/>
    </row>
    <row r="147" spans="4:25" ht="12" hidden="1" customHeight="1" x14ac:dyDescent="0.3">
      <c r="G147" s="87"/>
      <c r="I147" s="215"/>
      <c r="J147" s="215"/>
      <c r="K147" s="215"/>
      <c r="L147" s="216"/>
      <c r="M147" s="204"/>
      <c r="N147" s="217"/>
      <c r="O147" s="217"/>
      <c r="P147" s="218"/>
      <c r="Q147" s="204"/>
      <c r="R147" s="204"/>
      <c r="S147" s="204"/>
      <c r="T147" s="204"/>
      <c r="U147" s="204"/>
      <c r="V147" s="204"/>
      <c r="W147" s="120"/>
      <c r="X147" s="120"/>
      <c r="Y147" s="34"/>
    </row>
    <row r="148" spans="4:25" ht="12" hidden="1" customHeight="1" x14ac:dyDescent="0.3">
      <c r="I148" s="215"/>
      <c r="J148" s="215"/>
      <c r="K148" s="215"/>
      <c r="L148" s="216"/>
      <c r="M148" s="204"/>
      <c r="N148" s="217"/>
      <c r="O148" s="217"/>
      <c r="P148" s="218"/>
      <c r="Q148" s="204"/>
      <c r="R148" s="204"/>
      <c r="S148" s="204"/>
      <c r="T148" s="204"/>
      <c r="U148" s="204"/>
      <c r="V148" s="204"/>
      <c r="W148" s="120"/>
      <c r="X148" s="120"/>
      <c r="Y148" s="34"/>
    </row>
    <row r="149" spans="4:25" ht="12" hidden="1" customHeight="1" x14ac:dyDescent="0.3">
      <c r="G149" s="87"/>
      <c r="I149" s="215"/>
      <c r="J149" s="215"/>
      <c r="K149" s="215"/>
      <c r="L149" s="216"/>
      <c r="M149" s="204"/>
      <c r="N149" s="217"/>
      <c r="O149" s="217"/>
      <c r="P149" s="218"/>
      <c r="Q149" s="204"/>
      <c r="R149" s="204"/>
      <c r="S149" s="204"/>
      <c r="T149" s="204"/>
      <c r="U149" s="204"/>
      <c r="V149" s="204"/>
      <c r="W149" s="120"/>
      <c r="X149" s="120"/>
      <c r="Y149" s="34"/>
    </row>
    <row r="150" spans="4:25" ht="12" hidden="1" customHeight="1" x14ac:dyDescent="0.3">
      <c r="E150" s="87"/>
      <c r="F150" s="87"/>
      <c r="I150" s="215"/>
      <c r="J150" s="215"/>
      <c r="K150" s="215"/>
      <c r="L150" s="216"/>
      <c r="M150" s="204"/>
      <c r="N150" s="217"/>
      <c r="O150" s="217"/>
      <c r="P150" s="218"/>
      <c r="Q150" s="204"/>
      <c r="R150" s="204"/>
      <c r="S150" s="204"/>
      <c r="T150" s="204"/>
      <c r="U150" s="204"/>
      <c r="V150" s="204"/>
      <c r="W150" s="120"/>
      <c r="X150" s="120"/>
      <c r="Y150" s="34"/>
    </row>
    <row r="151" spans="4:25" ht="12" hidden="1" customHeight="1" x14ac:dyDescent="0.3">
      <c r="E151" s="87"/>
      <c r="F151" s="87"/>
      <c r="I151" s="215"/>
      <c r="J151" s="215"/>
      <c r="K151" s="215"/>
      <c r="L151" s="216"/>
      <c r="M151" s="204"/>
      <c r="N151" s="217"/>
      <c r="O151" s="217"/>
      <c r="P151" s="218"/>
      <c r="Q151" s="204"/>
      <c r="R151" s="204"/>
      <c r="S151" s="204"/>
      <c r="T151" s="204"/>
      <c r="U151" s="204"/>
      <c r="V151" s="204"/>
      <c r="W151" s="120"/>
      <c r="X151" s="120"/>
      <c r="Y151" s="34"/>
    </row>
    <row r="152" spans="4:25" ht="12" hidden="1" customHeight="1" x14ac:dyDescent="0.3">
      <c r="E152" s="87"/>
      <c r="F152" s="87"/>
      <c r="I152" s="215"/>
      <c r="J152" s="215"/>
      <c r="K152" s="215"/>
      <c r="L152" s="216"/>
      <c r="M152" s="204"/>
      <c r="N152" s="217"/>
      <c r="O152" s="217"/>
      <c r="P152" s="218"/>
      <c r="Q152" s="204"/>
      <c r="R152" s="204"/>
      <c r="S152" s="204"/>
      <c r="T152" s="204"/>
      <c r="U152" s="204"/>
      <c r="V152" s="204"/>
      <c r="W152" s="104"/>
      <c r="X152" s="104"/>
      <c r="Y152" s="34"/>
    </row>
    <row r="153" spans="4:25" ht="12" hidden="1" customHeight="1" x14ac:dyDescent="0.3">
      <c r="E153" s="87"/>
      <c r="F153" s="87"/>
      <c r="I153" s="215"/>
      <c r="J153" s="215"/>
      <c r="K153" s="215"/>
      <c r="L153" s="216"/>
      <c r="M153" s="204"/>
      <c r="N153" s="217"/>
      <c r="O153" s="217"/>
      <c r="P153" s="218"/>
      <c r="Q153" s="204"/>
      <c r="R153" s="204"/>
      <c r="S153" s="204"/>
      <c r="T153" s="204"/>
      <c r="U153" s="204"/>
      <c r="V153" s="204"/>
      <c r="W153" s="120"/>
      <c r="X153" s="120"/>
      <c r="Y153" s="34"/>
    </row>
    <row r="154" spans="4:25" ht="12" hidden="1" customHeight="1" x14ac:dyDescent="0.3">
      <c r="E154" s="87"/>
      <c r="F154" s="87"/>
      <c r="G154" s="87"/>
      <c r="I154" s="215"/>
      <c r="J154" s="215"/>
      <c r="K154" s="215"/>
      <c r="L154" s="216"/>
      <c r="M154" s="204"/>
      <c r="N154" s="217"/>
      <c r="O154" s="217"/>
      <c r="P154" s="218"/>
      <c r="Q154" s="204"/>
      <c r="R154" s="204"/>
      <c r="S154" s="204"/>
      <c r="T154" s="204"/>
      <c r="U154" s="204"/>
      <c r="V154" s="204"/>
      <c r="W154" s="120"/>
      <c r="X154" s="120"/>
      <c r="Y154" s="34"/>
    </row>
    <row r="155" spans="4:25" ht="15" hidden="1" customHeight="1" x14ac:dyDescent="0.3">
      <c r="E155" s="87"/>
      <c r="F155" s="87"/>
      <c r="G155" s="219"/>
      <c r="I155" s="215"/>
      <c r="J155" s="215"/>
      <c r="K155" s="215"/>
      <c r="L155" s="216"/>
      <c r="M155" s="204"/>
      <c r="N155" s="217"/>
      <c r="O155" s="217"/>
      <c r="P155" s="218"/>
      <c r="Q155" s="204"/>
      <c r="R155" s="204"/>
      <c r="S155" s="204"/>
      <c r="T155" s="204"/>
      <c r="U155" s="204"/>
      <c r="V155" s="204"/>
      <c r="W155" s="120"/>
      <c r="X155" s="120"/>
      <c r="Y155" s="34"/>
    </row>
    <row r="156" spans="4:25" ht="15" hidden="1" customHeight="1" x14ac:dyDescent="0.3">
      <c r="E156" s="87"/>
      <c r="F156" s="87"/>
      <c r="I156" s="215"/>
      <c r="J156" s="215"/>
      <c r="K156" s="215"/>
      <c r="L156" s="216"/>
      <c r="M156" s="204"/>
      <c r="N156" s="217"/>
      <c r="O156" s="217"/>
      <c r="P156" s="218"/>
      <c r="Q156" s="204"/>
      <c r="R156" s="204"/>
      <c r="S156" s="204"/>
      <c r="T156" s="204"/>
      <c r="U156" s="204"/>
      <c r="V156" s="204"/>
      <c r="W156" s="120"/>
      <c r="X156" s="120"/>
      <c r="Y156" s="34"/>
    </row>
    <row r="157" spans="4:25" ht="15" hidden="1" customHeight="1" x14ac:dyDescent="0.3">
      <c r="G157" s="87"/>
      <c r="I157" s="215"/>
      <c r="J157" s="215"/>
      <c r="K157" s="215"/>
      <c r="L157" s="216"/>
      <c r="M157" s="204"/>
      <c r="N157" s="217"/>
      <c r="O157" s="217"/>
      <c r="P157" s="218"/>
      <c r="Q157" s="204"/>
      <c r="R157" s="204"/>
      <c r="S157" s="204"/>
      <c r="T157" s="204"/>
      <c r="U157" s="204"/>
      <c r="V157" s="204"/>
      <c r="W157" s="120"/>
      <c r="X157" s="120"/>
      <c r="Y157" s="34"/>
    </row>
    <row r="158" spans="4:25" ht="15" hidden="1" customHeight="1" x14ac:dyDescent="0.3">
      <c r="I158" s="215"/>
      <c r="J158" s="215"/>
      <c r="K158" s="215"/>
      <c r="L158" s="216"/>
      <c r="M158" s="204"/>
      <c r="N158" s="217"/>
      <c r="O158" s="217"/>
      <c r="P158" s="218"/>
      <c r="Q158" s="204"/>
      <c r="R158" s="204"/>
      <c r="S158" s="204"/>
      <c r="T158" s="204"/>
      <c r="U158" s="204"/>
      <c r="V158" s="204"/>
      <c r="W158" s="120"/>
      <c r="X158" s="120"/>
      <c r="Y158" s="34"/>
    </row>
    <row r="159" spans="4:25" ht="15" hidden="1" customHeight="1" x14ac:dyDescent="0.3">
      <c r="I159" s="215"/>
      <c r="J159" s="215"/>
      <c r="K159" s="215"/>
      <c r="L159" s="216"/>
      <c r="M159" s="204"/>
      <c r="N159" s="217"/>
      <c r="O159" s="217"/>
      <c r="P159" s="218"/>
      <c r="Q159" s="204"/>
      <c r="R159" s="204"/>
      <c r="S159" s="204"/>
      <c r="T159" s="204"/>
      <c r="U159" s="204"/>
      <c r="V159" s="204"/>
      <c r="W159" s="120"/>
      <c r="X159" s="120"/>
      <c r="Y159" s="34"/>
    </row>
    <row r="160" spans="4:25" ht="15" hidden="1" customHeight="1" x14ac:dyDescent="0.3">
      <c r="F160" s="87"/>
      <c r="G160" s="87"/>
      <c r="I160" s="215"/>
      <c r="J160" s="215"/>
      <c r="K160" s="215"/>
      <c r="L160" s="216"/>
      <c r="M160" s="204"/>
      <c r="N160" s="217"/>
      <c r="O160" s="217"/>
      <c r="P160" s="218"/>
      <c r="Q160" s="204"/>
      <c r="R160" s="204"/>
      <c r="S160" s="204"/>
      <c r="T160" s="204"/>
      <c r="U160" s="204"/>
      <c r="V160" s="204"/>
      <c r="W160" s="120"/>
      <c r="X160" s="120"/>
      <c r="Y160" s="34"/>
    </row>
    <row r="161" spans="2:28" ht="15" hidden="1" customHeight="1" x14ac:dyDescent="0.3">
      <c r="F161" s="87"/>
      <c r="G161" s="219"/>
      <c r="I161" s="215"/>
      <c r="J161" s="215"/>
      <c r="K161" s="215"/>
      <c r="L161" s="216"/>
      <c r="M161" s="204"/>
      <c r="N161" s="217"/>
      <c r="O161" s="217"/>
      <c r="P161" s="218"/>
      <c r="Q161" s="204"/>
      <c r="R161" s="204"/>
      <c r="S161" s="204"/>
      <c r="T161" s="204"/>
      <c r="U161" s="204"/>
      <c r="V161" s="204"/>
      <c r="W161" s="120"/>
      <c r="X161" s="120"/>
      <c r="Y161" s="34"/>
    </row>
    <row r="162" spans="2:28" ht="13.8" hidden="1" thickBot="1" x14ac:dyDescent="0.3">
      <c r="B162" s="2" t="s">
        <v>61</v>
      </c>
      <c r="C162" s="181" t="e">
        <f>#REF!-C142</f>
        <v>#REF!</v>
      </c>
      <c r="D162" s="181" t="e">
        <f>#REF!-D142</f>
        <v>#REF!</v>
      </c>
      <c r="E162" s="181" t="e">
        <f>#REF!-E142</f>
        <v>#REF!</v>
      </c>
      <c r="F162" s="181" t="e">
        <f>#REF!-F142</f>
        <v>#REF!</v>
      </c>
      <c r="G162" s="185" t="e">
        <f>#REF!-G142</f>
        <v>#REF!</v>
      </c>
      <c r="H162" s="181" t="e">
        <f>#REF!-H142</f>
        <v>#REF!</v>
      </c>
      <c r="I162" s="181" t="e">
        <f>#REF!-I142</f>
        <v>#REF!</v>
      </c>
      <c r="J162" s="181"/>
      <c r="K162" s="181" t="e">
        <f>#REF!-K142</f>
        <v>#REF!</v>
      </c>
      <c r="L162" s="220" t="e">
        <f>#REF!-L142</f>
        <v>#REF!</v>
      </c>
      <c r="M162" s="181"/>
      <c r="N162" s="188" t="e">
        <f>#REF!-N142</f>
        <v>#REF!</v>
      </c>
      <c r="O162" s="221" t="e">
        <f>-N162/L162</f>
        <v>#REF!</v>
      </c>
      <c r="P162" s="184" t="e">
        <f>#REF!-P142</f>
        <v>#REF!</v>
      </c>
      <c r="Q162" s="181">
        <v>-116417.28799999878</v>
      </c>
      <c r="R162" s="181"/>
      <c r="S162" s="181"/>
      <c r="T162" s="181" t="e">
        <f>#REF!-T142</f>
        <v>#REF!</v>
      </c>
      <c r="U162" s="181" t="e">
        <f>#REF!-U142</f>
        <v>#REF!</v>
      </c>
      <c r="V162" s="181" t="e">
        <v>#REF!</v>
      </c>
      <c r="W162" s="181" t="e">
        <f>#REF!-W142</f>
        <v>#REF!</v>
      </c>
      <c r="X162" s="181" t="e">
        <f>#REF!-X142</f>
        <v>#REF!</v>
      </c>
      <c r="Y162" s="34"/>
      <c r="AB162" s="164"/>
    </row>
    <row r="163" spans="2:28" hidden="1" x14ac:dyDescent="0.25">
      <c r="G163" s="87"/>
      <c r="H163" s="87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Y163" s="34"/>
    </row>
    <row r="164" spans="2:28" ht="14.4" hidden="1" x14ac:dyDescent="0.3">
      <c r="I164" s="54"/>
      <c r="J164" s="54"/>
      <c r="K164" s="54"/>
      <c r="L164" s="226"/>
      <c r="M164" s="226"/>
      <c r="N164" s="226"/>
      <c r="O164" s="226"/>
      <c r="P164" s="226"/>
      <c r="Q164" s="226"/>
      <c r="R164" s="226"/>
      <c r="S164" s="226"/>
      <c r="T164" s="204"/>
      <c r="U164" s="204"/>
      <c r="V164" s="204"/>
      <c r="W164" s="54"/>
      <c r="X164" s="54"/>
      <c r="Y164" s="34"/>
    </row>
    <row r="165" spans="2:28" ht="14.4" hidden="1" x14ac:dyDescent="0.3">
      <c r="F165" s="87"/>
      <c r="G165" s="87"/>
      <c r="I165" s="87"/>
      <c r="J165" s="87"/>
      <c r="K165" s="87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54"/>
      <c r="X165" s="54"/>
      <c r="Y165" s="34"/>
    </row>
    <row r="166" spans="2:28" ht="14.4" hidden="1" x14ac:dyDescent="0.3">
      <c r="B166" s="2" t="s">
        <v>62</v>
      </c>
      <c r="I166" s="227"/>
      <c r="J166" s="227"/>
      <c r="K166" s="227"/>
      <c r="L166" s="204"/>
      <c r="M166" s="204"/>
      <c r="N166" s="204"/>
      <c r="O166" s="204"/>
      <c r="P166" s="204"/>
      <c r="Q166" s="204"/>
      <c r="R166" s="204"/>
      <c r="S166" s="204"/>
      <c r="T166" s="228"/>
      <c r="U166" s="228"/>
      <c r="V166" s="228"/>
      <c r="W166" s="54"/>
      <c r="X166" s="54"/>
      <c r="Y166" s="34"/>
    </row>
    <row r="167" spans="2:28" ht="14.4" x14ac:dyDescent="0.3">
      <c r="G167" s="16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54"/>
      <c r="X167" s="54"/>
      <c r="Y167" s="204"/>
      <c r="Z167" s="204"/>
      <c r="AA167" s="204"/>
      <c r="AB167" s="204"/>
    </row>
    <row r="168" spans="2:28" ht="14.4" x14ac:dyDescent="0.3">
      <c r="B168"/>
      <c r="G168" s="87"/>
      <c r="I168" s="204"/>
      <c r="J168" s="204"/>
      <c r="K168" s="227"/>
      <c r="L168" s="227"/>
      <c r="M168" s="227"/>
      <c r="N168" s="229"/>
      <c r="O168" s="229"/>
      <c r="P168" s="229"/>
      <c r="Q168" s="229"/>
      <c r="R168" s="229"/>
      <c r="S168" s="229"/>
      <c r="T168" s="227"/>
      <c r="U168"/>
      <c r="V168"/>
      <c r="X168" s="54"/>
      <c r="Y168" s="204"/>
      <c r="Z168" s="204"/>
      <c r="AA168" s="204"/>
      <c r="AB168" s="204"/>
    </row>
    <row r="169" spans="2:28" ht="14.4" hidden="1" x14ac:dyDescent="0.3">
      <c r="I169" s="204"/>
      <c r="J169" s="204"/>
      <c r="K169" s="227"/>
      <c r="L169" s="204"/>
      <c r="M169" s="204"/>
      <c r="N169" s="204"/>
      <c r="O169" s="204"/>
      <c r="P169" s="204"/>
      <c r="Q169" s="204"/>
      <c r="R169" s="204"/>
      <c r="S169" s="204"/>
      <c r="T169" s="204"/>
      <c r="U169"/>
      <c r="V169"/>
      <c r="W169"/>
      <c r="X169" s="54"/>
      <c r="Y169" s="204"/>
      <c r="Z169" s="204"/>
      <c r="AA169" s="204"/>
      <c r="AB169" s="204"/>
    </row>
    <row r="170" spans="2:28" ht="15.6" hidden="1" x14ac:dyDescent="0.3">
      <c r="B170" s="13" t="s">
        <v>63</v>
      </c>
      <c r="C170" s="13"/>
      <c r="D170" s="230">
        <v>0.03</v>
      </c>
      <c r="G170" s="16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/>
      <c r="V170"/>
      <c r="W170"/>
      <c r="X170" s="54"/>
      <c r="Y170" s="204"/>
      <c r="Z170" s="204"/>
      <c r="AA170" s="204"/>
      <c r="AB170" s="204"/>
    </row>
    <row r="171" spans="2:28" ht="14.4" hidden="1" x14ac:dyDescent="0.3">
      <c r="G171" s="231"/>
      <c r="H171" s="231"/>
      <c r="I171" s="204"/>
      <c r="J171" s="204"/>
      <c r="K171" s="232"/>
      <c r="L171" s="232"/>
      <c r="M171" s="232"/>
      <c r="N171" s="204"/>
      <c r="O171" s="204"/>
      <c r="P171" s="204"/>
      <c r="Q171" s="204"/>
      <c r="R171" s="204"/>
      <c r="S171" s="204"/>
      <c r="T171" s="204"/>
      <c r="U171"/>
      <c r="V171"/>
      <c r="W171"/>
      <c r="X171" s="54"/>
      <c r="Y171" s="87"/>
      <c r="Z171" s="87"/>
      <c r="AA171" s="87"/>
    </row>
    <row r="172" spans="2:28" ht="14.4" x14ac:dyDescent="0.3">
      <c r="I172"/>
      <c r="J172"/>
      <c r="K172"/>
      <c r="L172" s="232"/>
      <c r="M172" s="232"/>
      <c r="N172" s="204"/>
      <c r="O172" s="204"/>
      <c r="P172" s="204"/>
      <c r="Q172" s="204"/>
      <c r="R172" s="204"/>
      <c r="S172" s="204"/>
      <c r="T172" s="204"/>
      <c r="U172"/>
      <c r="V172"/>
      <c r="W172"/>
    </row>
    <row r="173" spans="2:28" ht="14.4" x14ac:dyDescent="0.3"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54"/>
    </row>
    <row r="174" spans="2:28" ht="14.4" x14ac:dyDescent="0.3">
      <c r="B174" s="168" t="s">
        <v>178</v>
      </c>
      <c r="I174" s="204"/>
      <c r="J174" s="20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54"/>
    </row>
    <row r="175" spans="2:28" ht="14.4" x14ac:dyDescent="0.3">
      <c r="I175" s="204"/>
      <c r="J175" s="204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54"/>
    </row>
    <row r="176" spans="2:28" ht="14.4" x14ac:dyDescent="0.3">
      <c r="B176" s="168" t="s">
        <v>179</v>
      </c>
      <c r="I176" s="204"/>
      <c r="J176" s="204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9:27" ht="14.4" x14ac:dyDescent="0.3">
      <c r="I177" s="204"/>
      <c r="J177" s="204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54"/>
    </row>
    <row r="178" spans="9:27" ht="14.4" x14ac:dyDescent="0.3">
      <c r="I178" s="227"/>
      <c r="J178" s="204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9:27" ht="14.4" x14ac:dyDescent="0.3">
      <c r="I179" s="204"/>
      <c r="J179" s="204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54"/>
      <c r="Y179" s="54"/>
      <c r="Z179" s="54"/>
      <c r="AA179" s="54"/>
    </row>
    <row r="180" spans="9:27" ht="14.4" x14ac:dyDescent="0.3">
      <c r="I180" s="204"/>
      <c r="J180" s="204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9:27" ht="14.4" x14ac:dyDescent="0.3">
      <c r="I181" s="204"/>
      <c r="J181" s="204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9:27" ht="14.4" x14ac:dyDescent="0.3">
      <c r="I182" s="204"/>
      <c r="J182" s="204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9:27" ht="14.4" x14ac:dyDescent="0.3">
      <c r="I183" s="204"/>
      <c r="J183" s="204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9:27" ht="14.4" x14ac:dyDescent="0.3">
      <c r="I184" s="204"/>
      <c r="J184" s="20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7" ht="14.4" x14ac:dyDescent="0.3">
      <c r="I185" s="204"/>
      <c r="J185" s="204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7" ht="14.4" x14ac:dyDescent="0.3">
      <c r="I186" s="204"/>
      <c r="J186" s="204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7" ht="14.4" x14ac:dyDescent="0.3">
      <c r="I187" s="204"/>
      <c r="J187" s="204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7" ht="14.4" x14ac:dyDescent="0.3">
      <c r="I188" s="204"/>
      <c r="J188" s="204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7" ht="14.4" x14ac:dyDescent="0.3">
      <c r="I189" s="204"/>
      <c r="J189" s="204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7" ht="14.4" x14ac:dyDescent="0.3">
      <c r="I190" s="204"/>
      <c r="J190" s="204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7" ht="14.4" x14ac:dyDescent="0.3"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</row>
    <row r="192" spans="9:27" ht="14.4" x14ac:dyDescent="0.3"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</row>
    <row r="193" spans="9:22" ht="14.4" x14ac:dyDescent="0.3"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</row>
    <row r="194" spans="9:22" ht="14.4" x14ac:dyDescent="0.3"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</row>
    <row r="195" spans="9:22" ht="14.4" x14ac:dyDescent="0.3"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</row>
  </sheetData>
  <mergeCells count="2">
    <mergeCell ref="I2:T2"/>
    <mergeCell ref="N7:O7"/>
  </mergeCells>
  <pageMargins left="0.7" right="0.7" top="0.75" bottom="0.75" header="0.3" footer="0.3"/>
  <pageSetup scale="43" orientation="landscape" horizontalDpi="4294967293" verticalDpi="240" r:id="rId1"/>
  <colBreaks count="1" manualBreakCount="1">
    <brk id="2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3687-D13E-442D-9EB2-174AB11E7376}">
  <sheetPr>
    <pageSetUpPr fitToPage="1"/>
  </sheetPr>
  <dimension ref="A2:AJ189"/>
  <sheetViews>
    <sheetView zoomScale="70" zoomScaleNormal="70" workbookViewId="0"/>
  </sheetViews>
  <sheetFormatPr defaultColWidth="10.6640625" defaultRowHeight="13.2" x14ac:dyDescent="0.25"/>
  <cols>
    <col min="1" max="1" width="3" style="3" customWidth="1"/>
    <col min="2" max="2" width="71.6640625" style="2" customWidth="1"/>
    <col min="3" max="3" width="18.6640625" style="3" hidden="1" customWidth="1"/>
    <col min="4" max="4" width="23.33203125" style="3" hidden="1" customWidth="1"/>
    <col min="5" max="6" width="18.6640625" style="3" hidden="1" customWidth="1"/>
    <col min="7" max="7" width="23.33203125" style="3" hidden="1" customWidth="1"/>
    <col min="8" max="8" width="18.6640625" style="3" hidden="1" customWidth="1"/>
    <col min="9" max="11" width="20.5546875" style="3" hidden="1" customWidth="1"/>
    <col min="12" max="13" width="18.6640625" style="3" hidden="1" customWidth="1"/>
    <col min="14" max="14" width="14.33203125" style="3" hidden="1" customWidth="1"/>
    <col min="15" max="15" width="12.33203125" style="3" hidden="1" customWidth="1"/>
    <col min="16" max="17" width="18.6640625" style="3" hidden="1" customWidth="1"/>
    <col min="18" max="19" width="23" style="3" hidden="1" customWidth="1"/>
    <col min="20" max="20" width="20" style="3" hidden="1" customWidth="1"/>
    <col min="21" max="21" width="20" style="3" customWidth="1"/>
    <col min="22" max="22" width="15.6640625" style="3" hidden="1" customWidth="1"/>
    <col min="23" max="23" width="12.6640625" style="3" hidden="1" customWidth="1"/>
    <col min="24" max="24" width="20" style="3" customWidth="1"/>
    <col min="25" max="25" width="19.6640625" style="3" hidden="1" customWidth="1"/>
    <col min="26" max="30" width="19.6640625" style="3" customWidth="1"/>
    <col min="31" max="31" width="24.44140625" style="3" customWidth="1"/>
    <col min="32" max="32" width="16" style="3" customWidth="1"/>
    <col min="33" max="33" width="13.44140625" style="3" customWidth="1"/>
    <col min="34" max="34" width="13" style="3" bestFit="1" customWidth="1"/>
    <col min="35" max="35" width="12.6640625" style="3" bestFit="1" customWidth="1"/>
    <col min="36" max="16384" width="10.6640625" style="3"/>
  </cols>
  <sheetData>
    <row r="2" spans="1:35" ht="24.6" x14ac:dyDescent="0.4">
      <c r="A2" s="1" t="s">
        <v>71</v>
      </c>
      <c r="G2" s="4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Y2" s="5" t="s">
        <v>2</v>
      </c>
      <c r="Z2" s="6" t="s">
        <v>2</v>
      </c>
      <c r="AD2" s="288"/>
      <c r="AE2" s="288"/>
    </row>
    <row r="3" spans="1:35" ht="20.25" customHeight="1" x14ac:dyDescent="0.4">
      <c r="A3" s="7" t="s">
        <v>1</v>
      </c>
      <c r="B3" s="7"/>
      <c r="C3" s="7"/>
      <c r="D3" s="8"/>
      <c r="E3" s="7"/>
      <c r="F3" s="7"/>
      <c r="G3" s="9"/>
      <c r="H3" s="7"/>
      <c r="I3" s="10"/>
      <c r="J3" s="7"/>
      <c r="K3" s="7"/>
      <c r="T3" s="11"/>
      <c r="U3" s="11"/>
      <c r="V3" s="12"/>
      <c r="W3" s="13"/>
      <c r="X3" s="11"/>
      <c r="Y3" s="14"/>
      <c r="Z3" s="6" t="s">
        <v>2</v>
      </c>
      <c r="AD3" s="288"/>
      <c r="AE3" s="288"/>
    </row>
    <row r="4" spans="1:35" ht="15.75" customHeight="1" x14ac:dyDescent="0.3">
      <c r="A4" s="15" t="str">
        <f>+'Spring 2023'!A4</f>
        <v>5 Year Plan FY 2023-2027</v>
      </c>
      <c r="B4" s="15"/>
      <c r="C4" s="16"/>
      <c r="D4" s="16"/>
      <c r="E4" s="16"/>
      <c r="F4" s="16"/>
      <c r="G4" s="17"/>
      <c r="H4" s="18"/>
      <c r="I4"/>
      <c r="J4"/>
      <c r="K4"/>
      <c r="L4"/>
      <c r="M4"/>
      <c r="N4"/>
      <c r="O4"/>
      <c r="P4"/>
      <c r="Q4"/>
      <c r="R4"/>
      <c r="S4"/>
      <c r="T4"/>
      <c r="U4" s="19"/>
      <c r="V4" s="18"/>
      <c r="W4" s="20"/>
      <c r="X4" s="19"/>
      <c r="Y4" s="21"/>
      <c r="Z4" s="6" t="s">
        <v>2</v>
      </c>
    </row>
    <row r="5" spans="1:35" ht="15.75" customHeight="1" thickBot="1" x14ac:dyDescent="0.35">
      <c r="A5" s="15"/>
      <c r="B5" s="15"/>
      <c r="C5" s="16"/>
      <c r="D5" s="16"/>
      <c r="E5" s="16"/>
      <c r="F5" s="16"/>
      <c r="G5" s="18"/>
      <c r="H5" s="18"/>
      <c r="I5"/>
      <c r="J5"/>
      <c r="K5"/>
      <c r="L5"/>
      <c r="M5"/>
      <c r="N5"/>
      <c r="O5"/>
      <c r="P5"/>
      <c r="Q5"/>
      <c r="R5"/>
      <c r="S5"/>
      <c r="T5" s="430"/>
      <c r="U5" s="23"/>
      <c r="V5" s="18"/>
      <c r="W5" s="18"/>
      <c r="X5" s="23"/>
      <c r="Y5" s="24"/>
      <c r="Z5" s="6"/>
    </row>
    <row r="6" spans="1:35" ht="15.75" customHeight="1" x14ac:dyDescent="0.3">
      <c r="A6" s="15"/>
      <c r="B6" s="15"/>
      <c r="C6" s="16"/>
      <c r="D6" s="16"/>
      <c r="E6" s="16"/>
      <c r="F6" s="16"/>
      <c r="G6" s="18"/>
      <c r="H6" s="18"/>
      <c r="I6" s="18"/>
      <c r="J6" s="18"/>
      <c r="L6" s="266" t="s">
        <v>2</v>
      </c>
      <c r="M6" s="267"/>
      <c r="N6" s="474" t="s">
        <v>3</v>
      </c>
      <c r="O6" s="475"/>
      <c r="P6" s="265" t="s">
        <v>2</v>
      </c>
      <c r="Q6" s="265" t="s">
        <v>4</v>
      </c>
      <c r="R6" s="266" t="s">
        <v>5</v>
      </c>
      <c r="T6" s="264"/>
      <c r="U6" s="264"/>
      <c r="V6" s="476" t="s">
        <v>3</v>
      </c>
      <c r="W6" s="476"/>
      <c r="X6" s="264"/>
      <c r="Y6" s="263"/>
      <c r="Z6" s="263"/>
      <c r="AA6" s="286"/>
      <c r="AB6" s="286"/>
      <c r="AC6" s="286"/>
      <c r="AD6" s="287"/>
    </row>
    <row r="7" spans="1:35" s="22" customFormat="1" ht="15.75" customHeight="1" x14ac:dyDescent="0.25">
      <c r="B7" s="25"/>
      <c r="C7" s="22">
        <v>2012</v>
      </c>
      <c r="D7" s="22" t="s">
        <v>6</v>
      </c>
      <c r="E7" s="22" t="s">
        <v>7</v>
      </c>
      <c r="F7" s="22" t="s">
        <v>8</v>
      </c>
      <c r="G7" s="22" t="s">
        <v>9</v>
      </c>
      <c r="H7" s="26" t="s">
        <v>10</v>
      </c>
      <c r="I7" s="22" t="s">
        <v>11</v>
      </c>
      <c r="K7" s="22" t="s">
        <v>65</v>
      </c>
      <c r="L7" s="265" t="s">
        <v>12</v>
      </c>
      <c r="M7" s="265" t="s">
        <v>13</v>
      </c>
      <c r="N7" s="269" t="s">
        <v>14</v>
      </c>
      <c r="O7" s="270" t="s">
        <v>15</v>
      </c>
      <c r="P7" s="265" t="s">
        <v>13</v>
      </c>
      <c r="Q7" s="265" t="s">
        <v>16</v>
      </c>
      <c r="R7" s="268" t="s">
        <v>17</v>
      </c>
      <c r="S7" s="22" t="s">
        <v>70</v>
      </c>
      <c r="T7" s="22" t="s">
        <v>145</v>
      </c>
      <c r="U7" s="22" t="str">
        <f>+'Spring 2023'!U8</f>
        <v>Actual 2021</v>
      </c>
      <c r="V7" s="27" t="s">
        <v>14</v>
      </c>
      <c r="W7" s="27" t="s">
        <v>15</v>
      </c>
      <c r="X7" s="22" t="str">
        <f>+'Spring 2023'!V8</f>
        <v>Actual 2022</v>
      </c>
      <c r="Y7" s="325" t="s">
        <v>74</v>
      </c>
      <c r="Z7" s="443" t="str">
        <f>+'Spring 2023'!X8</f>
        <v>Budget 2023</v>
      </c>
      <c r="AA7" s="465" t="str">
        <f>+'Spring 2023'!Y8</f>
        <v>Budget 2024</v>
      </c>
      <c r="AB7" s="22" t="s">
        <v>73</v>
      </c>
      <c r="AC7" s="22" t="s">
        <v>72</v>
      </c>
      <c r="AD7" s="233" t="s">
        <v>163</v>
      </c>
    </row>
    <row r="8" spans="1:35" ht="12" customHeight="1" x14ac:dyDescent="0.3">
      <c r="H8" s="28"/>
      <c r="L8" s="29"/>
      <c r="N8" s="30"/>
      <c r="O8" s="31"/>
      <c r="Q8" s="32" t="s">
        <v>2</v>
      </c>
      <c r="R8" s="33" t="s">
        <v>2</v>
      </c>
      <c r="S8" s="32"/>
      <c r="T8" s="32" t="s">
        <v>2</v>
      </c>
      <c r="U8" s="32" t="s">
        <v>2</v>
      </c>
      <c r="V8" s="30"/>
      <c r="W8" s="30"/>
      <c r="X8" s="32" t="s">
        <v>2</v>
      </c>
      <c r="Y8" s="326"/>
      <c r="Z8" s="326"/>
      <c r="AA8" s="32"/>
      <c r="AB8" s="32"/>
      <c r="AC8" s="32"/>
      <c r="AD8" s="234"/>
    </row>
    <row r="9" spans="1:35" ht="15.6" x14ac:dyDescent="0.3">
      <c r="A9" s="35" t="s">
        <v>18</v>
      </c>
      <c r="H9" s="28"/>
      <c r="L9" s="36"/>
      <c r="N9" s="37"/>
      <c r="O9" s="38"/>
      <c r="P9" s="4"/>
      <c r="Q9" s="4"/>
      <c r="R9" s="36"/>
      <c r="S9" s="39"/>
      <c r="T9" s="39"/>
      <c r="U9" s="39"/>
      <c r="V9" s="37"/>
      <c r="W9" s="37"/>
      <c r="X9" s="39"/>
      <c r="Y9" s="327"/>
      <c r="Z9" s="327"/>
      <c r="AA9" s="39"/>
      <c r="AB9" s="39"/>
      <c r="AC9" s="39"/>
      <c r="AD9" s="235"/>
    </row>
    <row r="10" spans="1:35" ht="12" customHeight="1" x14ac:dyDescent="0.25">
      <c r="B10" s="2" t="s">
        <v>141</v>
      </c>
      <c r="C10" s="40">
        <v>12452459</v>
      </c>
      <c r="D10" s="40">
        <v>12870426</v>
      </c>
      <c r="E10" s="40">
        <v>13219338</v>
      </c>
      <c r="F10" s="40">
        <v>12645125</v>
      </c>
      <c r="G10" s="40">
        <v>11706423</v>
      </c>
      <c r="H10" s="41">
        <v>12894222</v>
      </c>
      <c r="I10" s="42">
        <v>11025969</v>
      </c>
      <c r="J10" s="42"/>
      <c r="K10" s="42">
        <v>12153012.770000001</v>
      </c>
      <c r="L10" s="43">
        <v>11950550</v>
      </c>
      <c r="M10" s="42">
        <v>12132294</v>
      </c>
      <c r="N10" s="44">
        <f t="shared" ref="N10:N17" si="0">-L10+M10</f>
        <v>181744</v>
      </c>
      <c r="O10" s="45">
        <f>+N10/L10</f>
        <v>1.5208002978942392E-2</v>
      </c>
      <c r="P10" s="46">
        <f>11950550+181744</f>
        <v>12132294</v>
      </c>
      <c r="Q10" s="40">
        <v>12882158</v>
      </c>
      <c r="R10" s="43">
        <v>11497073</v>
      </c>
      <c r="S10" s="42">
        <v>10819530.960000001</v>
      </c>
      <c r="T10" s="42">
        <v>9491967</v>
      </c>
      <c r="U10" s="42">
        <v>8737744.9700000007</v>
      </c>
      <c r="V10" s="44">
        <f t="shared" ref="V10:V17" si="1">-R10+U10</f>
        <v>-2759328.0299999993</v>
      </c>
      <c r="W10" s="110">
        <f>+V10/R10</f>
        <v>-0.24000265371890736</v>
      </c>
      <c r="X10" s="472">
        <v>9329853.2600000016</v>
      </c>
      <c r="Y10" s="328">
        <v>9343936.5199999996</v>
      </c>
      <c r="Z10" s="43">
        <v>9340334.5600000024</v>
      </c>
      <c r="AA10" s="80">
        <v>9146010</v>
      </c>
      <c r="AB10" s="80">
        <v>9747017.8300000001</v>
      </c>
      <c r="AC10" s="80">
        <v>9947309.5935169999</v>
      </c>
      <c r="AD10" s="317">
        <v>10147501.05410652</v>
      </c>
      <c r="AE10" s="39"/>
      <c r="AF10" s="470" t="s">
        <v>2</v>
      </c>
      <c r="AG10" s="39" t="s">
        <v>2</v>
      </c>
      <c r="AH10" s="39" t="s">
        <v>2</v>
      </c>
      <c r="AI10" s="39" t="s">
        <v>2</v>
      </c>
    </row>
    <row r="11" spans="1:35" ht="12" customHeight="1" x14ac:dyDescent="0.25">
      <c r="B11" s="2" t="s">
        <v>103</v>
      </c>
      <c r="C11" s="47">
        <f>5144430+2620625</f>
        <v>7765055</v>
      </c>
      <c r="D11" s="47">
        <f>6277143+2587255</f>
        <v>8864398</v>
      </c>
      <c r="E11" s="47">
        <f>5613872+2674882</f>
        <v>8288754</v>
      </c>
      <c r="F11" s="47">
        <f>6618866+2687032</f>
        <v>9305898</v>
      </c>
      <c r="G11" s="47">
        <v>8349976</v>
      </c>
      <c r="H11" s="48">
        <v>9703950</v>
      </c>
      <c r="I11" s="49">
        <f>6660599+2743689</f>
        <v>9404288</v>
      </c>
      <c r="J11" s="49"/>
      <c r="K11" s="54">
        <v>8963170.3499999996</v>
      </c>
      <c r="L11" s="55">
        <f>6572875+2857000</f>
        <v>9429875</v>
      </c>
      <c r="M11" s="54">
        <v>9079875</v>
      </c>
      <c r="N11" s="51">
        <f t="shared" si="0"/>
        <v>-350000</v>
      </c>
      <c r="O11" s="45">
        <f t="shared" ref="O11:O17" si="2">+N11/L11</f>
        <v>-3.7116080541894775E-2</v>
      </c>
      <c r="P11" s="56">
        <f>6572875+2857000-350000</f>
        <v>9079875</v>
      </c>
      <c r="Q11" s="54">
        <v>9875000</v>
      </c>
      <c r="R11" s="55">
        <v>9495240</v>
      </c>
      <c r="S11" s="54">
        <v>9522579.3300000001</v>
      </c>
      <c r="T11" s="54">
        <v>2851173</v>
      </c>
      <c r="U11" s="54">
        <v>2503871</v>
      </c>
      <c r="V11" s="51" t="e">
        <f>-R11+#REF!</f>
        <v>#REF!</v>
      </c>
      <c r="W11" s="110" t="e">
        <f t="shared" ref="W11:W17" si="3">+V11/R11</f>
        <v>#REF!</v>
      </c>
      <c r="X11" s="54">
        <v>5272153.74</v>
      </c>
      <c r="Y11" s="330">
        <v>7044625</v>
      </c>
      <c r="Z11" s="55">
        <v>7081400</v>
      </c>
      <c r="AA11" s="85">
        <v>5945007</v>
      </c>
      <c r="AB11" s="85">
        <v>7173448.2199999997</v>
      </c>
      <c r="AC11" s="85">
        <v>7747324.0776000004</v>
      </c>
      <c r="AD11" s="242">
        <v>5138817.9570000004</v>
      </c>
      <c r="AE11" s="164"/>
      <c r="AF11" s="54"/>
    </row>
    <row r="12" spans="1:35" ht="12" customHeight="1" x14ac:dyDescent="0.25">
      <c r="B12" s="2" t="s">
        <v>146</v>
      </c>
      <c r="C12" s="47">
        <v>5711188</v>
      </c>
      <c r="D12" s="47">
        <v>5543754</v>
      </c>
      <c r="E12" s="47">
        <v>5459793</v>
      </c>
      <c r="F12" s="47">
        <v>5415745</v>
      </c>
      <c r="G12" s="47">
        <v>5515846</v>
      </c>
      <c r="H12" s="53">
        <v>5538000</v>
      </c>
      <c r="I12" s="54">
        <v>5294533</v>
      </c>
      <c r="J12" s="54"/>
      <c r="K12" s="54">
        <v>5369789.2699999996</v>
      </c>
      <c r="L12" s="55">
        <v>5354600</v>
      </c>
      <c r="M12" s="54">
        <v>5342600</v>
      </c>
      <c r="N12" s="51">
        <f t="shared" si="0"/>
        <v>-12000</v>
      </c>
      <c r="O12" s="45">
        <f t="shared" si="2"/>
        <v>-2.2410637582639227E-3</v>
      </c>
      <c r="P12" s="56">
        <v>5342600</v>
      </c>
      <c r="Q12" s="54">
        <v>5650300</v>
      </c>
      <c r="R12" s="55">
        <v>5391800</v>
      </c>
      <c r="S12" s="54">
        <v>5309136</v>
      </c>
      <c r="T12" s="54">
        <v>5164543</v>
      </c>
      <c r="U12" s="54">
        <v>4647655.93</v>
      </c>
      <c r="V12" s="51" t="e">
        <f>-R12+#REF!</f>
        <v>#REF!</v>
      </c>
      <c r="W12" s="110" t="e">
        <f t="shared" si="3"/>
        <v>#REF!</v>
      </c>
      <c r="X12" s="54">
        <v>4692922.7500000009</v>
      </c>
      <c r="Y12" s="330">
        <v>4405792</v>
      </c>
      <c r="Z12" s="55">
        <v>4877900</v>
      </c>
      <c r="AA12" s="54">
        <v>4809409</v>
      </c>
      <c r="AB12" s="54">
        <v>4720977.9654799998</v>
      </c>
      <c r="AC12" s="54">
        <v>4916163.5416913349</v>
      </c>
      <c r="AD12" s="237">
        <v>5114917.7405081093</v>
      </c>
      <c r="AE12" s="164"/>
      <c r="AF12" s="85" t="s">
        <v>2</v>
      </c>
    </row>
    <row r="13" spans="1:35" ht="12" customHeight="1" x14ac:dyDescent="0.25">
      <c r="B13" s="2" t="s">
        <v>105</v>
      </c>
      <c r="C13" s="47">
        <v>15337545</v>
      </c>
      <c r="D13" s="47">
        <v>13489583</v>
      </c>
      <c r="E13" s="47">
        <v>15581358</v>
      </c>
      <c r="F13" s="47">
        <v>14308907</v>
      </c>
      <c r="G13" s="47">
        <v>15813475</v>
      </c>
      <c r="H13" s="53">
        <v>13611230</v>
      </c>
      <c r="I13" s="54">
        <v>13805979</v>
      </c>
      <c r="J13" s="54"/>
      <c r="K13" s="54">
        <v>16282664</v>
      </c>
      <c r="L13" s="55">
        <f>16309466-259057</f>
        <v>16050409</v>
      </c>
      <c r="M13" s="54">
        <v>16050409</v>
      </c>
      <c r="N13" s="51">
        <f t="shared" si="0"/>
        <v>0</v>
      </c>
      <c r="O13" s="45">
        <f t="shared" si="2"/>
        <v>0</v>
      </c>
      <c r="P13" s="56">
        <f>+L13</f>
        <v>16050409</v>
      </c>
      <c r="Q13" s="54">
        <v>13799977</v>
      </c>
      <c r="R13" s="55">
        <v>13462337</v>
      </c>
      <c r="S13" s="54">
        <v>13434551.75</v>
      </c>
      <c r="T13" s="54">
        <f>+Divisions!F21</f>
        <v>15004152.080000002</v>
      </c>
      <c r="U13" s="54">
        <f>+Divisions!G21</f>
        <v>10773745.5</v>
      </c>
      <c r="V13" s="51">
        <f t="shared" si="1"/>
        <v>-2688591.5</v>
      </c>
      <c r="W13" s="110">
        <f t="shared" si="3"/>
        <v>-0.19971209307863858</v>
      </c>
      <c r="X13" s="54">
        <f>+Divisions!H21</f>
        <v>13508371.469999997</v>
      </c>
      <c r="Y13" s="330">
        <f>+Divisions!I21</f>
        <v>13558950</v>
      </c>
      <c r="Z13" s="55">
        <f>+Divisions!J21</f>
        <v>11975437</v>
      </c>
      <c r="AA13" s="54">
        <f>+Divisions!K21</f>
        <v>14306254.999999996</v>
      </c>
      <c r="AB13" s="54">
        <f>+Divisions!L21</f>
        <v>12762014.370999999</v>
      </c>
      <c r="AC13" s="54">
        <f>+Divisions!M21</f>
        <v>15832706.478709999</v>
      </c>
      <c r="AD13" s="237">
        <f>+Divisions!N21</f>
        <v>13712903.563097101</v>
      </c>
    </row>
    <row r="14" spans="1:35" ht="12" customHeight="1" x14ac:dyDescent="0.25">
      <c r="B14" s="2" t="s">
        <v>147</v>
      </c>
      <c r="C14" s="47">
        <v>350582</v>
      </c>
      <c r="D14" s="47">
        <v>410750</v>
      </c>
      <c r="E14" s="47">
        <v>358256</v>
      </c>
      <c r="F14" s="47">
        <v>428775</v>
      </c>
      <c r="G14" s="47">
        <v>434927</v>
      </c>
      <c r="H14" s="48">
        <v>441908</v>
      </c>
      <c r="I14" s="49">
        <v>467454</v>
      </c>
      <c r="J14" s="49"/>
      <c r="K14" s="49">
        <v>557998</v>
      </c>
      <c r="L14" s="50">
        <v>419592</v>
      </c>
      <c r="M14" s="49">
        <v>419592</v>
      </c>
      <c r="N14" s="51">
        <f t="shared" si="0"/>
        <v>0</v>
      </c>
      <c r="O14" s="45">
        <f t="shared" si="2"/>
        <v>0</v>
      </c>
      <c r="P14" s="52">
        <v>419592</v>
      </c>
      <c r="Q14" s="47">
        <v>400000</v>
      </c>
      <c r="R14" s="50">
        <v>400784</v>
      </c>
      <c r="S14" s="49">
        <v>687264</v>
      </c>
      <c r="T14" s="49">
        <v>493661</v>
      </c>
      <c r="U14" s="54">
        <v>625655.40999999992</v>
      </c>
      <c r="V14" s="51">
        <f t="shared" si="1"/>
        <v>224871.40999999992</v>
      </c>
      <c r="W14" s="110">
        <f t="shared" si="3"/>
        <v>0.56107881053135833</v>
      </c>
      <c r="X14" s="54">
        <v>665845.57999999984</v>
      </c>
      <c r="Y14" s="330">
        <v>502348.99999999901</v>
      </c>
      <c r="Z14" s="55">
        <v>564013</v>
      </c>
      <c r="AA14" s="49">
        <v>565589.99999999895</v>
      </c>
      <c r="AB14" s="49">
        <f>+Z14</f>
        <v>564013</v>
      </c>
      <c r="AC14" s="49">
        <f>+Z14</f>
        <v>564013</v>
      </c>
      <c r="AD14" s="236">
        <f>+Z14</f>
        <v>564013</v>
      </c>
    </row>
    <row r="15" spans="1:35" ht="12" customHeight="1" x14ac:dyDescent="0.3">
      <c r="B15" s="2" t="s">
        <v>107</v>
      </c>
      <c r="C15" s="49">
        <v>5750398</v>
      </c>
      <c r="D15" s="49">
        <v>6922284</v>
      </c>
      <c r="E15" s="49">
        <v>4954945</v>
      </c>
      <c r="F15" s="49">
        <v>7224274</v>
      </c>
      <c r="G15" s="49">
        <v>6329463</v>
      </c>
      <c r="H15" s="48">
        <v>4491310</v>
      </c>
      <c r="I15" s="54">
        <v>6319708</v>
      </c>
      <c r="J15" s="54"/>
      <c r="K15" s="54">
        <v>6970509</v>
      </c>
      <c r="L15" s="55">
        <f>6055953+48790</f>
        <v>6104743</v>
      </c>
      <c r="M15" s="54">
        <v>6104743</v>
      </c>
      <c r="N15" s="51">
        <f t="shared" si="0"/>
        <v>0</v>
      </c>
      <c r="O15" s="45">
        <f t="shared" si="2"/>
        <v>0</v>
      </c>
      <c r="P15" s="56">
        <f>+L15</f>
        <v>6104743</v>
      </c>
      <c r="Q15" s="54">
        <v>5500000</v>
      </c>
      <c r="R15" s="55">
        <v>3651680</v>
      </c>
      <c r="S15" s="54">
        <v>7310331.8700000001</v>
      </c>
      <c r="T15" s="54">
        <f>21775745-12887516</f>
        <v>8888229</v>
      </c>
      <c r="U15" s="54">
        <v>3339777.3</v>
      </c>
      <c r="V15" s="51">
        <f t="shared" si="1"/>
        <v>-311902.70000000019</v>
      </c>
      <c r="W15" s="110">
        <f t="shared" si="3"/>
        <v>-8.5413480918371865E-2</v>
      </c>
      <c r="X15" s="54">
        <f>12441155.8</f>
        <v>12441155.800000001</v>
      </c>
      <c r="Y15" s="329">
        <v>4310179</v>
      </c>
      <c r="Z15" s="55">
        <v>8749802.9499999993</v>
      </c>
      <c r="AA15" s="49">
        <v>7333856.0200000033</v>
      </c>
      <c r="AB15" s="49">
        <v>5970397.6234295387</v>
      </c>
      <c r="AC15" s="49">
        <v>6198821.0076010153</v>
      </c>
      <c r="AD15" s="236">
        <v>6438665.5609810669</v>
      </c>
      <c r="AE15" s="79"/>
      <c r="AF15"/>
    </row>
    <row r="16" spans="1:35" ht="12" customHeight="1" x14ac:dyDescent="0.3">
      <c r="B16" s="2" t="s">
        <v>181</v>
      </c>
      <c r="C16" s="49"/>
      <c r="D16" s="49"/>
      <c r="E16" s="49"/>
      <c r="F16" s="49"/>
      <c r="G16" s="49"/>
      <c r="H16" s="48"/>
      <c r="I16" s="54"/>
      <c r="J16" s="54"/>
      <c r="K16" s="54"/>
      <c r="L16" s="55"/>
      <c r="M16" s="54"/>
      <c r="N16" s="51"/>
      <c r="O16" s="45"/>
      <c r="P16" s="56"/>
      <c r="Q16" s="54"/>
      <c r="R16" s="55"/>
      <c r="S16" s="54"/>
      <c r="T16" s="54"/>
      <c r="U16" s="54">
        <v>4213035</v>
      </c>
      <c r="V16" s="51"/>
      <c r="W16" s="110"/>
      <c r="X16" s="54">
        <v>5078786</v>
      </c>
      <c r="Y16" s="329"/>
      <c r="Z16" s="55">
        <v>0</v>
      </c>
      <c r="AA16" s="49">
        <v>0</v>
      </c>
      <c r="AB16" s="49">
        <v>0</v>
      </c>
      <c r="AC16" s="49">
        <v>0</v>
      </c>
      <c r="AD16" s="236">
        <v>0</v>
      </c>
      <c r="AE16" s="79"/>
      <c r="AF16"/>
      <c r="AG16"/>
    </row>
    <row r="17" spans="1:36" ht="12" customHeight="1" x14ac:dyDescent="0.3">
      <c r="B17" s="2" t="s">
        <v>148</v>
      </c>
      <c r="C17" s="47">
        <f>+C31+592912</f>
        <v>1344857.03</v>
      </c>
      <c r="D17" s="47">
        <f>+D31+521164</f>
        <v>1220123</v>
      </c>
      <c r="E17" s="47">
        <f>+E31+745498</f>
        <v>1449064.6600000001</v>
      </c>
      <c r="F17" s="47">
        <f>+F31+693211</f>
        <v>1780996</v>
      </c>
      <c r="G17" s="47">
        <v>2104677</v>
      </c>
      <c r="H17" s="48">
        <v>2197358</v>
      </c>
      <c r="I17" s="49">
        <f>+I31+326327+219501</f>
        <v>1879361</v>
      </c>
      <c r="J17" s="49"/>
      <c r="K17" s="47">
        <f>+K31+470495+364446</f>
        <v>1945351</v>
      </c>
      <c r="L17" s="277">
        <f>+L31+367909-1</f>
        <v>1567908</v>
      </c>
      <c r="M17" s="275">
        <v>1492909</v>
      </c>
      <c r="N17" s="275">
        <f t="shared" si="0"/>
        <v>-74999</v>
      </c>
      <c r="O17" s="278">
        <f t="shared" si="2"/>
        <v>-4.7833801473045612E-2</v>
      </c>
      <c r="P17" s="279">
        <f>+P31+367909</f>
        <v>1492909</v>
      </c>
      <c r="Q17" s="276">
        <v>2000000</v>
      </c>
      <c r="R17" s="277">
        <v>1775296</v>
      </c>
      <c r="S17" s="47">
        <f>+S31+924279+301669</f>
        <v>2030134</v>
      </c>
      <c r="T17" s="49">
        <f>+T31+715047+619653</f>
        <v>2050193.96</v>
      </c>
      <c r="U17" s="49">
        <f>+U31+1717763.08-1500000</f>
        <v>2439669.27</v>
      </c>
      <c r="V17" s="275">
        <f t="shared" si="1"/>
        <v>664373.27</v>
      </c>
      <c r="W17" s="280">
        <f t="shared" si="3"/>
        <v>0.37423239279534232</v>
      </c>
      <c r="X17" s="49">
        <f>+X31+2037529.97-1500000</f>
        <v>3058187.71</v>
      </c>
      <c r="Y17" s="329">
        <f>-794132+Y31</f>
        <v>1522169</v>
      </c>
      <c r="Z17" s="50">
        <f>+Z31+786481</f>
        <v>1956481</v>
      </c>
      <c r="AA17" s="49">
        <f>+AA31+493457</f>
        <v>2577307</v>
      </c>
      <c r="AB17" s="49">
        <f>+AB31+1000000</f>
        <v>3083850</v>
      </c>
      <c r="AC17" s="49">
        <f>+AC31+1000000</f>
        <v>3083850</v>
      </c>
      <c r="AD17" s="236">
        <f>+AD31+1000000</f>
        <v>3083850</v>
      </c>
      <c r="AF17"/>
      <c r="AG17" s="3" t="s">
        <v>2</v>
      </c>
      <c r="AI17" s="57"/>
    </row>
    <row r="18" spans="1:36" ht="12" customHeight="1" x14ac:dyDescent="0.25">
      <c r="B18" s="2" t="s">
        <v>75</v>
      </c>
      <c r="C18" s="47"/>
      <c r="D18" s="47"/>
      <c r="E18" s="47"/>
      <c r="F18" s="47"/>
      <c r="G18" s="47"/>
      <c r="H18" s="48"/>
      <c r="I18" s="47">
        <f>+I32</f>
        <v>0</v>
      </c>
      <c r="J18" s="290"/>
      <c r="K18" s="47">
        <f>+K32</f>
        <v>205003</v>
      </c>
      <c r="L18" s="292"/>
      <c r="M18" s="290"/>
      <c r="N18" s="290"/>
      <c r="O18" s="293"/>
      <c r="P18" s="294"/>
      <c r="Q18" s="291"/>
      <c r="R18" s="292"/>
      <c r="S18" s="49">
        <f>+S32</f>
        <v>52500</v>
      </c>
      <c r="T18" s="49">
        <f>+T32</f>
        <v>25000</v>
      </c>
      <c r="U18" s="49">
        <f>+U32</f>
        <v>3550000</v>
      </c>
      <c r="V18" s="51"/>
      <c r="W18" s="110"/>
      <c r="X18" s="49">
        <v>2719000</v>
      </c>
      <c r="Y18" s="329">
        <f t="shared" ref="Y18:AD18" si="4">+Y32</f>
        <v>3085000</v>
      </c>
      <c r="Z18" s="50">
        <f t="shared" si="4"/>
        <v>4507000</v>
      </c>
      <c r="AA18" s="49">
        <f t="shared" si="4"/>
        <v>5000000</v>
      </c>
      <c r="AB18" s="49">
        <f t="shared" si="4"/>
        <v>6000000</v>
      </c>
      <c r="AC18" s="49">
        <f t="shared" si="4"/>
        <v>6500000</v>
      </c>
      <c r="AD18" s="236">
        <f t="shared" si="4"/>
        <v>6500000</v>
      </c>
      <c r="AF18" s="167" t="s">
        <v>2</v>
      </c>
      <c r="AI18" s="57"/>
    </row>
    <row r="19" spans="1:36" ht="12" customHeight="1" x14ac:dyDescent="0.25">
      <c r="B19" s="2" t="s">
        <v>76</v>
      </c>
      <c r="C19" s="47"/>
      <c r="D19" s="47"/>
      <c r="E19" s="47"/>
      <c r="F19" s="47"/>
      <c r="G19" s="47"/>
      <c r="H19" s="48"/>
      <c r="I19" s="49"/>
      <c r="J19" s="49"/>
      <c r="K19" s="47"/>
      <c r="L19" s="50"/>
      <c r="M19" s="49"/>
      <c r="N19" s="49"/>
      <c r="O19" s="299"/>
      <c r="P19" s="52"/>
      <c r="Q19" s="47"/>
      <c r="R19" s="50"/>
      <c r="S19" s="49"/>
      <c r="T19" s="49"/>
      <c r="U19" s="49">
        <v>0</v>
      </c>
      <c r="V19" s="51"/>
      <c r="W19" s="110"/>
      <c r="X19" s="49">
        <v>476032.56</v>
      </c>
      <c r="Y19" s="329">
        <v>675989</v>
      </c>
      <c r="Z19" s="50">
        <v>692000</v>
      </c>
      <c r="AA19" s="49">
        <v>764499.99999999977</v>
      </c>
      <c r="AB19" s="49">
        <v>799692.5</v>
      </c>
      <c r="AC19" s="49">
        <v>859669.4375</v>
      </c>
      <c r="AD19" s="236">
        <v>924144.64531249995</v>
      </c>
      <c r="AF19" s="470" t="s">
        <v>2</v>
      </c>
      <c r="AI19" s="57"/>
    </row>
    <row r="20" spans="1:36" ht="12" customHeight="1" x14ac:dyDescent="0.25">
      <c r="B20" s="2" t="s">
        <v>68</v>
      </c>
      <c r="C20" s="58">
        <f>+C34</f>
        <v>565188.27</v>
      </c>
      <c r="D20" s="58">
        <f>+D34</f>
        <v>685373</v>
      </c>
      <c r="E20" s="58">
        <f>+E34</f>
        <v>594720.68000000005</v>
      </c>
      <c r="F20" s="58">
        <f>+F34</f>
        <v>569870</v>
      </c>
      <c r="G20" s="58">
        <f>+G34</f>
        <v>564475</v>
      </c>
      <c r="H20" s="59">
        <v>569190</v>
      </c>
      <c r="I20" s="58">
        <f>+I34</f>
        <v>611335</v>
      </c>
      <c r="J20" s="281"/>
      <c r="K20" s="58">
        <f>+K34</f>
        <v>743060</v>
      </c>
      <c r="L20" s="282">
        <f>+L34</f>
        <v>846888</v>
      </c>
      <c r="M20" s="281">
        <v>920000</v>
      </c>
      <c r="N20" s="281">
        <f>-L20+M20</f>
        <v>73112</v>
      </c>
      <c r="O20" s="283">
        <f>+N20/L20</f>
        <v>8.6330187698963737E-2</v>
      </c>
      <c r="P20" s="284">
        <f>+P34</f>
        <v>920000</v>
      </c>
      <c r="Q20" s="281">
        <v>607395</v>
      </c>
      <c r="R20" s="282">
        <v>616043</v>
      </c>
      <c r="S20" s="58">
        <f>+S34</f>
        <v>512540.76</v>
      </c>
      <c r="T20" s="58">
        <f>+T34</f>
        <v>350189</v>
      </c>
      <c r="U20" s="58">
        <f>+U34</f>
        <v>1341608.5900000001</v>
      </c>
      <c r="V20" s="61">
        <f>-R20+U20</f>
        <v>725565.59000000008</v>
      </c>
      <c r="W20" s="223">
        <f>+V20/R20</f>
        <v>1.1777840020907633</v>
      </c>
      <c r="X20" s="58">
        <f t="shared" ref="X20:AD20" si="5">+X34</f>
        <v>408193.65</v>
      </c>
      <c r="Y20" s="331">
        <f t="shared" si="5"/>
        <v>367253.75</v>
      </c>
      <c r="Z20" s="60">
        <f t="shared" si="5"/>
        <v>457434</v>
      </c>
      <c r="AA20" s="58">
        <f t="shared" si="5"/>
        <v>453185.00000000012</v>
      </c>
      <c r="AB20" s="58">
        <f t="shared" si="5"/>
        <v>457434</v>
      </c>
      <c r="AC20" s="58">
        <f t="shared" si="5"/>
        <v>457434</v>
      </c>
      <c r="AD20" s="238">
        <f t="shared" si="5"/>
        <v>457434</v>
      </c>
      <c r="AE20" s="164"/>
      <c r="AF20" s="3" t="s">
        <v>2</v>
      </c>
      <c r="AG20" s="3" t="s">
        <v>2</v>
      </c>
      <c r="AI20" s="57"/>
    </row>
    <row r="21" spans="1:36" ht="12" customHeight="1" x14ac:dyDescent="0.25">
      <c r="C21" s="47"/>
      <c r="D21" s="47"/>
      <c r="E21" s="47"/>
      <c r="F21" s="47"/>
      <c r="H21" s="28"/>
      <c r="L21" s="29"/>
      <c r="N21" s="30"/>
      <c r="O21" s="31"/>
      <c r="P21" s="64"/>
      <c r="R21" s="29"/>
      <c r="V21" s="30"/>
      <c r="W21" s="30"/>
      <c r="Y21" s="332"/>
      <c r="Z21" s="332"/>
      <c r="AD21" s="239"/>
      <c r="AF21" s="54" t="s">
        <v>2</v>
      </c>
      <c r="AG21" s="3" t="s">
        <v>2</v>
      </c>
      <c r="AI21" s="57"/>
    </row>
    <row r="22" spans="1:36" ht="12" customHeight="1" thickBot="1" x14ac:dyDescent="0.3">
      <c r="B22" s="2" t="s">
        <v>20</v>
      </c>
      <c r="C22" s="65">
        <f>SUM(C10:C21)</f>
        <v>49277272.300000004</v>
      </c>
      <c r="D22" s="65">
        <f>SUM(D10:D21)</f>
        <v>50006691</v>
      </c>
      <c r="E22" s="65">
        <f>SUM(E10:E21)</f>
        <v>49906229.339999996</v>
      </c>
      <c r="F22" s="65">
        <f>SUM(F10:F21)</f>
        <v>51679590</v>
      </c>
      <c r="G22" s="65">
        <f>SUM(G10:G21)</f>
        <v>50819262</v>
      </c>
      <c r="H22" s="66">
        <f>SUM(H10:H20)</f>
        <v>49447168</v>
      </c>
      <c r="I22" s="65">
        <f>SUM(I10:I21)</f>
        <v>48808627</v>
      </c>
      <c r="J22" s="65"/>
      <c r="K22" s="65">
        <f>SUM(K10:K21)</f>
        <v>53190557.390000001</v>
      </c>
      <c r="L22" s="67">
        <f>SUM(L10:L21)</f>
        <v>51724565</v>
      </c>
      <c r="M22" s="65">
        <f>SUM(M10:M21)</f>
        <v>51542422</v>
      </c>
      <c r="N22" s="68">
        <f>SUM(N10:N20)</f>
        <v>-182143</v>
      </c>
      <c r="O22" s="69">
        <f>+N22/L22</f>
        <v>-3.5214022582886876E-3</v>
      </c>
      <c r="P22" s="70">
        <f>SUM(P10:P21)</f>
        <v>51542422</v>
      </c>
      <c r="Q22" s="65">
        <v>50714830</v>
      </c>
      <c r="R22" s="67">
        <f>SUM(R10:R21)</f>
        <v>46290253</v>
      </c>
      <c r="S22" s="65">
        <f>SUM(S10:S21)</f>
        <v>49678568.669999994</v>
      </c>
      <c r="T22" s="65">
        <f>SUM(T10:T21)</f>
        <v>44319108.039999999</v>
      </c>
      <c r="U22" s="65">
        <f>SUM(U10:U21)</f>
        <v>42172762.970000006</v>
      </c>
      <c r="V22" s="68" t="e">
        <f>SUM(V10:V20)</f>
        <v>#REF!</v>
      </c>
      <c r="W22" s="259" t="e">
        <f>+V22/R22</f>
        <v>#REF!</v>
      </c>
      <c r="X22" s="65">
        <f>SUM(X10:X21)</f>
        <v>57650502.519999996</v>
      </c>
      <c r="Y22" s="333">
        <f t="shared" ref="Y22:AD22" si="6">SUM(Y10:Y21)</f>
        <v>44816243.269999996</v>
      </c>
      <c r="Z22" s="67">
        <f>SUM(Z10:Z21)</f>
        <v>50201802.510000005</v>
      </c>
      <c r="AA22" s="65">
        <f t="shared" si="6"/>
        <v>50901119.020000003</v>
      </c>
      <c r="AB22" s="65">
        <f t="shared" si="6"/>
        <v>51278845.50990954</v>
      </c>
      <c r="AC22" s="65">
        <f t="shared" si="6"/>
        <v>56107291.136619352</v>
      </c>
      <c r="AD22" s="240">
        <f t="shared" si="6"/>
        <v>52082247.521005303</v>
      </c>
      <c r="AE22" s="164"/>
      <c r="AF22" s="3" t="s">
        <v>2</v>
      </c>
      <c r="AG22" s="3" t="s">
        <v>2</v>
      </c>
      <c r="AI22" s="57"/>
    </row>
    <row r="23" spans="1:36" ht="12" customHeight="1" thickTop="1" x14ac:dyDescent="0.3">
      <c r="H23" s="28"/>
      <c r="L23" s="29"/>
      <c r="N23" s="30"/>
      <c r="O23" s="31"/>
      <c r="P23" s="64"/>
      <c r="Q23"/>
      <c r="R23" s="71"/>
      <c r="S23"/>
      <c r="Y23" s="332"/>
      <c r="Z23" s="332"/>
      <c r="AD23" s="239"/>
    </row>
    <row r="24" spans="1:36" ht="16.2" thickBot="1" x14ac:dyDescent="0.35">
      <c r="A24" s="35" t="s">
        <v>21</v>
      </c>
      <c r="C24" s="72">
        <v>0.255</v>
      </c>
      <c r="D24" s="72">
        <v>0.255</v>
      </c>
      <c r="E24" s="72">
        <v>0.24199999999999999</v>
      </c>
      <c r="F24" s="72">
        <v>0.254</v>
      </c>
      <c r="G24" s="72">
        <v>0.25900000000000001</v>
      </c>
      <c r="H24" s="73">
        <v>0.26400000000000001</v>
      </c>
      <c r="I24" s="72">
        <v>0.26400000000000001</v>
      </c>
      <c r="J24" s="72"/>
      <c r="K24" s="72">
        <v>0.26400000000000001</v>
      </c>
      <c r="L24" s="74">
        <v>0.26400000000000001</v>
      </c>
      <c r="M24" s="72">
        <v>0.26400000000000001</v>
      </c>
      <c r="N24" s="75"/>
      <c r="O24" s="76"/>
      <c r="P24" s="77">
        <v>0.26400000000000001</v>
      </c>
      <c r="Q24" s="72">
        <v>0.26400000000000001</v>
      </c>
      <c r="R24" s="74">
        <v>0.26500000000000001</v>
      </c>
      <c r="S24" s="72">
        <v>0.26500000000000001</v>
      </c>
      <c r="T24" s="72">
        <v>0.26500000000000001</v>
      </c>
      <c r="U24" s="72">
        <v>0.26500000000000001</v>
      </c>
      <c r="V24" s="75"/>
      <c r="W24" s="75"/>
      <c r="X24" s="72">
        <v>0.26500000000000001</v>
      </c>
      <c r="Y24" s="335">
        <f>+U24</f>
        <v>0.26500000000000001</v>
      </c>
      <c r="Z24" s="74">
        <f>+Y24</f>
        <v>0.26500000000000001</v>
      </c>
      <c r="AA24" s="72">
        <f>+Z24</f>
        <v>0.26500000000000001</v>
      </c>
      <c r="AB24" s="72">
        <f>+Z24</f>
        <v>0.26500000000000001</v>
      </c>
      <c r="AC24" s="72">
        <f>+Z24</f>
        <v>0.26500000000000001</v>
      </c>
      <c r="AD24" s="241">
        <f>+AA24</f>
        <v>0.26500000000000001</v>
      </c>
      <c r="AF24" s="78"/>
    </row>
    <row r="25" spans="1:36" ht="12" customHeight="1" thickTop="1" x14ac:dyDescent="0.3">
      <c r="H25" s="28"/>
      <c r="L25" s="29"/>
      <c r="N25" s="30"/>
      <c r="O25" s="31"/>
      <c r="P25" s="64"/>
      <c r="Q25"/>
      <c r="R25" s="29"/>
      <c r="V25" s="30"/>
      <c r="W25" s="30"/>
      <c r="Y25" s="332"/>
      <c r="Z25" s="332"/>
      <c r="AD25" s="239"/>
      <c r="AF25"/>
      <c r="AG25"/>
      <c r="AH25" s="79"/>
      <c r="AI25" s="79"/>
      <c r="AJ25" s="79"/>
    </row>
    <row r="26" spans="1:36" ht="15.6" x14ac:dyDescent="0.3">
      <c r="A26" s="35" t="s">
        <v>22</v>
      </c>
      <c r="H26" s="28"/>
      <c r="L26" s="29"/>
      <c r="N26" s="30"/>
      <c r="O26" s="31"/>
      <c r="P26" s="64"/>
      <c r="Q26"/>
      <c r="R26" s="29"/>
      <c r="S26" s="3" t="s">
        <v>2</v>
      </c>
      <c r="V26" s="30"/>
      <c r="W26" s="30"/>
      <c r="Y26" s="332"/>
      <c r="Z26" s="332"/>
      <c r="AD26" s="239"/>
      <c r="AF26" s="85"/>
      <c r="AG26" s="85"/>
      <c r="AH26" s="85"/>
      <c r="AI26" s="85"/>
    </row>
    <row r="27" spans="1:36" ht="12" customHeight="1" x14ac:dyDescent="0.25">
      <c r="B27" s="2" t="s">
        <v>23</v>
      </c>
      <c r="C27" s="40">
        <f>-70260.9600000008+C136</f>
        <v>264618.0199999992</v>
      </c>
      <c r="D27" s="40">
        <f>355218+D136</f>
        <v>1024975</v>
      </c>
      <c r="E27" s="40">
        <v>1544398.249090909</v>
      </c>
      <c r="F27" s="40">
        <f>630008+F136</f>
        <v>1119673.9090909092</v>
      </c>
      <c r="G27" s="80">
        <f>472095+G136</f>
        <v>841510.90909090906</v>
      </c>
      <c r="H27" s="81">
        <f>1179979+H136</f>
        <v>1540144.9090909092</v>
      </c>
      <c r="I27" s="82">
        <f>119826+I136</f>
        <v>479991.90909090906</v>
      </c>
      <c r="J27" s="39">
        <f>I27/$I$75</f>
        <v>3.029140622153239E-2</v>
      </c>
      <c r="K27" s="82">
        <f>-95370+K136</f>
        <v>264796</v>
      </c>
      <c r="L27" s="83">
        <f>242273+L136</f>
        <v>602439</v>
      </c>
      <c r="M27" s="82">
        <v>592933</v>
      </c>
      <c r="N27" s="44">
        <f>-L27+M27</f>
        <v>-9506</v>
      </c>
      <c r="O27" s="45">
        <f>+N27/L27</f>
        <v>-1.577919092223445E-2</v>
      </c>
      <c r="P27" s="84">
        <f>232767+P136</f>
        <v>592933</v>
      </c>
      <c r="Q27" s="80">
        <v>1257246.5</v>
      </c>
      <c r="R27" s="83">
        <v>149809</v>
      </c>
      <c r="S27" s="82">
        <f>-152442+S136+1</f>
        <v>111843</v>
      </c>
      <c r="T27" s="82">
        <f>-1049223.46</f>
        <v>-1049223.46</v>
      </c>
      <c r="U27" s="82">
        <f>-16685.1+U115</f>
        <v>151714.9</v>
      </c>
      <c r="V27" s="44">
        <f>-R27+U27</f>
        <v>1905.8999999999942</v>
      </c>
      <c r="W27" s="110">
        <f>+V27/R27</f>
        <v>1.2722199600825011E-2</v>
      </c>
      <c r="X27" s="82">
        <f>695092.66+X115</f>
        <v>779292.66</v>
      </c>
      <c r="Y27" s="328">
        <v>266095</v>
      </c>
      <c r="Z27" s="43">
        <v>635363.58745573089</v>
      </c>
      <c r="AA27" s="80">
        <f>397015.377304839-4000</f>
        <v>393015.37730483903</v>
      </c>
      <c r="AB27" s="80">
        <v>783237.6857000012</v>
      </c>
      <c r="AC27" s="80">
        <v>770215.65633899905</v>
      </c>
      <c r="AD27" s="317">
        <v>771640.68901658617</v>
      </c>
      <c r="AG27" s="85"/>
      <c r="AH27" s="85"/>
      <c r="AI27" s="85"/>
    </row>
    <row r="28" spans="1:36" ht="12" customHeight="1" x14ac:dyDescent="0.25">
      <c r="B28" s="2" t="s">
        <v>24</v>
      </c>
      <c r="C28" s="47">
        <v>834204.54000000097</v>
      </c>
      <c r="D28" s="47">
        <v>1115900</v>
      </c>
      <c r="E28" s="47">
        <v>946173.69999999972</v>
      </c>
      <c r="F28" s="47">
        <v>747678</v>
      </c>
      <c r="G28" s="85">
        <v>45871</v>
      </c>
      <c r="H28" s="86">
        <v>730765</v>
      </c>
      <c r="I28" s="87">
        <f>832016-80001</f>
        <v>752015</v>
      </c>
      <c r="J28" s="39">
        <f>I28/$I$75</f>
        <v>4.7458282979872674E-2</v>
      </c>
      <c r="K28" s="87">
        <f>580131-293081-1</f>
        <v>287049</v>
      </c>
      <c r="L28" s="88">
        <f>721964+30748</f>
        <v>752712</v>
      </c>
      <c r="M28" s="87">
        <v>502712</v>
      </c>
      <c r="N28" s="51">
        <f>-L28+M28</f>
        <v>-250000</v>
      </c>
      <c r="O28" s="45">
        <f>+N28/L28</f>
        <v>-0.33213234278183423</v>
      </c>
      <c r="P28" s="89">
        <f>721964+30748-250000</f>
        <v>502712</v>
      </c>
      <c r="Q28" s="85">
        <v>693000</v>
      </c>
      <c r="R28" s="88">
        <v>781482</v>
      </c>
      <c r="S28" s="87">
        <v>239575.57999999996</v>
      </c>
      <c r="T28" s="87">
        <v>-936105.17</v>
      </c>
      <c r="U28" s="87">
        <v>929827.49</v>
      </c>
      <c r="V28" s="51">
        <f>-R28+U28</f>
        <v>148345.49</v>
      </c>
      <c r="W28" s="110">
        <f>+V28/R28</f>
        <v>0.18982585651364969</v>
      </c>
      <c r="X28" s="87">
        <v>-529661.9799999987</v>
      </c>
      <c r="Y28" s="336">
        <v>540077</v>
      </c>
      <c r="Z28" s="55">
        <v>-398286.94002764602</v>
      </c>
      <c r="AA28" s="87">
        <v>-1013018.0455949833</v>
      </c>
      <c r="AB28" s="87">
        <v>-408587.98060000013</v>
      </c>
      <c r="AC28" s="87">
        <v>-116506.68033700064</v>
      </c>
      <c r="AD28" s="242">
        <v>-292811.97250115965</v>
      </c>
      <c r="AF28" s="471" t="s">
        <v>2</v>
      </c>
      <c r="AG28" s="3" t="s">
        <v>2</v>
      </c>
    </row>
    <row r="29" spans="1:36" ht="12" customHeight="1" x14ac:dyDescent="0.25">
      <c r="B29" s="2" t="s">
        <v>25</v>
      </c>
      <c r="C29" s="47">
        <v>5622923.3099999996</v>
      </c>
      <c r="D29" s="47">
        <v>5456303</v>
      </c>
      <c r="E29" s="47">
        <v>5371098.0899999999</v>
      </c>
      <c r="F29" s="47">
        <v>5327140</v>
      </c>
      <c r="G29" s="85">
        <v>5422789</v>
      </c>
      <c r="H29" s="86">
        <v>5448000</v>
      </c>
      <c r="I29" s="87">
        <v>5195935</v>
      </c>
      <c r="J29" s="39">
        <f>I29/$I$75</f>
        <v>0.32790589758851185</v>
      </c>
      <c r="K29" s="87">
        <f>5369789-97060</f>
        <v>5272729</v>
      </c>
      <c r="L29" s="88">
        <f>+L12-90000</f>
        <v>5264600</v>
      </c>
      <c r="M29" s="87">
        <v>5252600</v>
      </c>
      <c r="N29" s="51">
        <f>-L29+M29</f>
        <v>-12000</v>
      </c>
      <c r="O29" s="45">
        <f>+N29/L29</f>
        <v>-2.2793754511263912E-3</v>
      </c>
      <c r="P29" s="89">
        <f>+P12-90000</f>
        <v>5252600</v>
      </c>
      <c r="Q29" s="85">
        <v>5559800</v>
      </c>
      <c r="R29" s="88">
        <v>5291800</v>
      </c>
      <c r="S29" s="87">
        <f>+S12-101716</f>
        <v>5207420</v>
      </c>
      <c r="T29" s="87">
        <f>+T12-91864</f>
        <v>5072679</v>
      </c>
      <c r="U29" s="87">
        <f>+U12-'Spring 2023'!U30</f>
        <v>4545748.3199999994</v>
      </c>
      <c r="V29" s="51">
        <f>-R29+U29</f>
        <v>-746051.68000000063</v>
      </c>
      <c r="W29" s="110">
        <f>+V29/R29</f>
        <v>-0.14098259193469154</v>
      </c>
      <c r="X29" s="87">
        <f>+X12-'Spring 2023'!V30</f>
        <v>4578473.6100000013</v>
      </c>
      <c r="Y29" s="336">
        <v>4300792</v>
      </c>
      <c r="Z29" s="55">
        <v>4772900</v>
      </c>
      <c r="AA29" s="87">
        <f>+AA12-105000</f>
        <v>4704409</v>
      </c>
      <c r="AB29" s="87">
        <f>+AB12-110000</f>
        <v>4610977.9654799998</v>
      </c>
      <c r="AC29" s="87">
        <f>+AC12-110000</f>
        <v>4806163.5416913349</v>
      </c>
      <c r="AD29" s="242">
        <f>+AD12-110000</f>
        <v>5004917.7405081093</v>
      </c>
      <c r="AE29" s="164"/>
      <c r="AF29" s="85" t="s">
        <v>2</v>
      </c>
      <c r="AG29" s="3" t="s">
        <v>2</v>
      </c>
      <c r="AH29" s="79"/>
    </row>
    <row r="30" spans="1:36" ht="12" customHeight="1" x14ac:dyDescent="0.25">
      <c r="B30" s="2" t="str">
        <f>+B16</f>
        <v>Grant - PPP loan forgiveness and Employee Retention Credit</v>
      </c>
      <c r="C30" s="47"/>
      <c r="D30" s="47"/>
      <c r="E30" s="47"/>
      <c r="F30" s="47"/>
      <c r="G30" s="85"/>
      <c r="H30" s="86"/>
      <c r="I30" s="87">
        <v>0</v>
      </c>
      <c r="J30" s="39"/>
      <c r="K30" s="87">
        <v>0</v>
      </c>
      <c r="L30" s="88"/>
      <c r="M30" s="87"/>
      <c r="N30" s="51"/>
      <c r="O30" s="45"/>
      <c r="P30" s="89"/>
      <c r="Q30" s="85"/>
      <c r="R30" s="88"/>
      <c r="S30" s="87">
        <v>0</v>
      </c>
      <c r="T30" s="87">
        <v>0</v>
      </c>
      <c r="U30" s="87">
        <f>+U16</f>
        <v>4213035</v>
      </c>
      <c r="V30" s="51"/>
      <c r="W30" s="110"/>
      <c r="X30" s="87">
        <f>+X16</f>
        <v>5078786</v>
      </c>
      <c r="Y30" s="336"/>
      <c r="Z30" s="55">
        <v>0</v>
      </c>
      <c r="AA30" s="87">
        <v>0</v>
      </c>
      <c r="AB30" s="87">
        <v>0</v>
      </c>
      <c r="AC30" s="87">
        <v>0</v>
      </c>
      <c r="AD30" s="242">
        <v>0</v>
      </c>
      <c r="AE30" s="164"/>
      <c r="AF30" s="85" t="s">
        <v>2</v>
      </c>
      <c r="AG30" s="3" t="s">
        <v>2</v>
      </c>
    </row>
    <row r="31" spans="1:36" ht="12" customHeight="1" x14ac:dyDescent="0.25">
      <c r="B31" s="2" t="s">
        <v>19</v>
      </c>
      <c r="C31" s="47">
        <v>751945.03</v>
      </c>
      <c r="D31" s="47">
        <v>698959</v>
      </c>
      <c r="E31" s="47">
        <v>703566.66</v>
      </c>
      <c r="F31" s="47">
        <v>1087785</v>
      </c>
      <c r="G31" s="85">
        <v>1168625</v>
      </c>
      <c r="H31" s="86">
        <v>1350000</v>
      </c>
      <c r="I31" s="87">
        <v>1333533</v>
      </c>
      <c r="J31" s="39">
        <f>I31/$I$75</f>
        <v>8.4156813995729537E-2</v>
      </c>
      <c r="K31" s="87">
        <v>1110410</v>
      </c>
      <c r="L31" s="88">
        <f>1200000</f>
        <v>1200000</v>
      </c>
      <c r="M31" s="87">
        <v>1125000</v>
      </c>
      <c r="N31" s="51">
        <f>-L31+M31</f>
        <v>-75000</v>
      </c>
      <c r="O31" s="45">
        <f>+N31/L31</f>
        <v>-6.25E-2</v>
      </c>
      <c r="P31" s="89">
        <f>1200000-75000</f>
        <v>1125000</v>
      </c>
      <c r="Q31" s="85">
        <v>1200000</v>
      </c>
      <c r="R31" s="88">
        <v>1200000</v>
      </c>
      <c r="S31" s="87">
        <v>804186</v>
      </c>
      <c r="T31" s="87">
        <v>715493.96</v>
      </c>
      <c r="U31" s="87">
        <f>721906.19+1500000</f>
        <v>2221906.19</v>
      </c>
      <c r="V31" s="51">
        <f>-R31+U31</f>
        <v>1021906.19</v>
      </c>
      <c r="W31" s="110">
        <f>+V31/R31</f>
        <v>0.85158849166666661</v>
      </c>
      <c r="X31" s="87">
        <f>1020657.74+1500000</f>
        <v>2520657.7400000002</v>
      </c>
      <c r="Y31" s="336">
        <v>2316301</v>
      </c>
      <c r="Z31" s="55">
        <v>1170000</v>
      </c>
      <c r="AA31" s="87">
        <v>2083850</v>
      </c>
      <c r="AB31" s="87">
        <f>+AA31</f>
        <v>2083850</v>
      </c>
      <c r="AC31" s="87">
        <f>+AA31</f>
        <v>2083850</v>
      </c>
      <c r="AD31" s="242">
        <f>+AA31</f>
        <v>2083850</v>
      </c>
      <c r="AE31" s="164"/>
      <c r="AF31" s="85"/>
      <c r="AG31" s="3" t="s">
        <v>2</v>
      </c>
    </row>
    <row r="32" spans="1:36" ht="12" customHeight="1" x14ac:dyDescent="0.25">
      <c r="B32" s="2" t="str">
        <f>+B18</f>
        <v>Contributed Revenue</v>
      </c>
      <c r="C32" s="47"/>
      <c r="D32" s="47"/>
      <c r="E32" s="47"/>
      <c r="F32" s="47"/>
      <c r="G32" s="85"/>
      <c r="H32" s="87"/>
      <c r="I32" s="87">
        <v>0</v>
      </c>
      <c r="J32" s="295"/>
      <c r="K32" s="87">
        <v>205003</v>
      </c>
      <c r="L32" s="296"/>
      <c r="M32" s="289"/>
      <c r="N32" s="290"/>
      <c r="O32" s="293"/>
      <c r="P32" s="297"/>
      <c r="Q32" s="298"/>
      <c r="R32" s="296"/>
      <c r="S32" s="87">
        <v>52500</v>
      </c>
      <c r="T32" s="87">
        <v>25000</v>
      </c>
      <c r="U32" s="49">
        <v>3550000</v>
      </c>
      <c r="V32" s="51"/>
      <c r="W32" s="110"/>
      <c r="X32" s="49">
        <v>2719000</v>
      </c>
      <c r="Y32" s="329">
        <f>3000000+85000</f>
        <v>3085000</v>
      </c>
      <c r="Z32" s="50">
        <v>4507000</v>
      </c>
      <c r="AA32" s="49">
        <v>5000000</v>
      </c>
      <c r="AB32" s="49">
        <v>6000000</v>
      </c>
      <c r="AC32" s="49">
        <v>6500000</v>
      </c>
      <c r="AD32" s="236">
        <v>6500000</v>
      </c>
      <c r="AE32" s="3" t="s">
        <v>2</v>
      </c>
      <c r="AF32" s="85" t="s">
        <v>2</v>
      </c>
      <c r="AG32" s="3" t="s">
        <v>2</v>
      </c>
    </row>
    <row r="33" spans="2:35" ht="12" customHeight="1" x14ac:dyDescent="0.25">
      <c r="B33" s="2" t="s">
        <v>130</v>
      </c>
      <c r="C33" s="47"/>
      <c r="D33" s="47"/>
      <c r="E33" s="47"/>
      <c r="F33" s="47"/>
      <c r="G33" s="85"/>
      <c r="H33" s="87"/>
      <c r="I33" s="87"/>
      <c r="J33" s="39"/>
      <c r="K33" s="87"/>
      <c r="L33" s="88"/>
      <c r="M33" s="87"/>
      <c r="N33" s="49"/>
      <c r="O33" s="299"/>
      <c r="P33" s="89"/>
      <c r="Q33" s="85"/>
      <c r="R33" s="88"/>
      <c r="S33" s="87"/>
      <c r="T33" s="87"/>
      <c r="U33" s="49">
        <v>-1760</v>
      </c>
      <c r="V33" s="51"/>
      <c r="W33" s="110"/>
      <c r="X33" s="49">
        <v>176867.59000000003</v>
      </c>
      <c r="Y33" s="329">
        <v>-34636</v>
      </c>
      <c r="Z33" s="50">
        <v>38471.058411438396</v>
      </c>
      <c r="AA33" s="49">
        <v>95485.033922532501</v>
      </c>
      <c r="AB33" s="49">
        <v>82994.061577999964</v>
      </c>
      <c r="AC33" s="49">
        <v>120489.59383777995</v>
      </c>
      <c r="AD33" s="236">
        <v>161197.54415903764</v>
      </c>
      <c r="AF33" s="85"/>
    </row>
    <row r="34" spans="2:35" ht="12" customHeight="1" x14ac:dyDescent="0.25">
      <c r="B34" s="2" t="s">
        <v>26</v>
      </c>
      <c r="C34" s="58">
        <v>565188.27</v>
      </c>
      <c r="D34" s="58">
        <v>685373</v>
      </c>
      <c r="E34" s="58">
        <v>594720.68000000005</v>
      </c>
      <c r="F34" s="58">
        <v>569870</v>
      </c>
      <c r="G34" s="90">
        <v>564475</v>
      </c>
      <c r="H34" s="90">
        <v>569190</v>
      </c>
      <c r="I34" s="90">
        <v>611335</v>
      </c>
      <c r="J34" s="91">
        <f>I34/$I$75</f>
        <v>3.8580227024062635E-2</v>
      </c>
      <c r="K34" s="90">
        <f>948062+1-K32</f>
        <v>743060</v>
      </c>
      <c r="L34" s="92">
        <v>846888</v>
      </c>
      <c r="M34" s="90">
        <v>920000</v>
      </c>
      <c r="N34" s="61">
        <f>-L34+M34</f>
        <v>73112</v>
      </c>
      <c r="O34" s="62">
        <f>+N34/L34</f>
        <v>8.6330187698963737E-2</v>
      </c>
      <c r="P34" s="93">
        <f>846888-71888+79361+65639</f>
        <v>920000</v>
      </c>
      <c r="Q34" s="90">
        <v>607395</v>
      </c>
      <c r="R34" s="92">
        <f>616043</f>
        <v>616043</v>
      </c>
      <c r="S34" s="90">
        <f>565039.76+1-S32</f>
        <v>512540.76</v>
      </c>
      <c r="T34" s="90">
        <f>350190-1</f>
        <v>350189</v>
      </c>
      <c r="U34" s="58">
        <v>1341608.5900000001</v>
      </c>
      <c r="V34" s="61">
        <f>-R34+U34</f>
        <v>725565.59000000008</v>
      </c>
      <c r="W34" s="223">
        <f>+V34/R34</f>
        <v>1.1777840020907633</v>
      </c>
      <c r="X34" s="58">
        <f>408192.65+1</f>
        <v>408193.65</v>
      </c>
      <c r="Y34" s="331">
        <v>367253.75</v>
      </c>
      <c r="Z34" s="60">
        <v>457434</v>
      </c>
      <c r="AA34" s="90">
        <v>453185.00000000012</v>
      </c>
      <c r="AB34" s="90">
        <f>Z34</f>
        <v>457434</v>
      </c>
      <c r="AC34" s="90">
        <f>Z34</f>
        <v>457434</v>
      </c>
      <c r="AD34" s="243">
        <f>Z34</f>
        <v>457434</v>
      </c>
      <c r="AF34" s="85"/>
    </row>
    <row r="35" spans="2:35" ht="12" customHeight="1" x14ac:dyDescent="0.25">
      <c r="C35" s="49"/>
      <c r="D35" s="49"/>
      <c r="E35" s="49"/>
      <c r="F35" s="49"/>
      <c r="G35" s="87"/>
      <c r="H35" s="87"/>
      <c r="I35" s="87"/>
      <c r="J35" s="39"/>
      <c r="K35" s="87"/>
      <c r="L35" s="88"/>
      <c r="M35" s="87"/>
      <c r="N35" s="94"/>
      <c r="O35" s="95"/>
      <c r="P35" s="89"/>
      <c r="Q35" s="87"/>
      <c r="R35" s="88"/>
      <c r="S35" s="87"/>
      <c r="T35" s="87"/>
      <c r="U35" s="87"/>
      <c r="V35" s="94"/>
      <c r="W35" s="94"/>
      <c r="X35" s="87"/>
      <c r="Y35" s="336"/>
      <c r="Z35" s="336"/>
      <c r="AA35" s="87"/>
      <c r="AB35" s="87"/>
      <c r="AC35" s="87"/>
      <c r="AD35" s="242"/>
      <c r="AF35" s="85" t="s">
        <v>2</v>
      </c>
    </row>
    <row r="36" spans="2:35" ht="12" customHeight="1" x14ac:dyDescent="0.25">
      <c r="B36" s="2" t="s">
        <v>27</v>
      </c>
      <c r="C36" s="96">
        <f>SUM(C27:C35)</f>
        <v>8038879.1699999999</v>
      </c>
      <c r="D36" s="96">
        <f>SUM(D27:D35)</f>
        <v>8981510</v>
      </c>
      <c r="E36" s="96">
        <f>SUM(E27:E35)+1</f>
        <v>9159958.3790909089</v>
      </c>
      <c r="F36" s="96">
        <f>SUM(F27:F35)+1</f>
        <v>8852147.9090909101</v>
      </c>
      <c r="G36" s="97">
        <f>SUM(G27:G35)</f>
        <v>8043270.9090909092</v>
      </c>
      <c r="H36" s="96">
        <f>SUM(H27:H34)</f>
        <v>9638099.9090909101</v>
      </c>
      <c r="I36" s="97">
        <f>SUM(I27:I35)</f>
        <v>8372809.9090909092</v>
      </c>
      <c r="J36" s="98">
        <f>I36/$I$75</f>
        <v>0.52839262780970908</v>
      </c>
      <c r="K36" s="97">
        <f>SUM(K27:K35)</f>
        <v>7883047</v>
      </c>
      <c r="L36" s="99">
        <f>SUM(L27:L35)</f>
        <v>8666639</v>
      </c>
      <c r="M36" s="97">
        <f>SUM(M27:M35)</f>
        <v>8393245</v>
      </c>
      <c r="N36" s="100">
        <f>SUM(N27:N34)</f>
        <v>-273394</v>
      </c>
      <c r="O36" s="101">
        <f>+N36/L36</f>
        <v>-3.1545562241602543E-2</v>
      </c>
      <c r="P36" s="102">
        <f>SUM(P27:P35)</f>
        <v>8393245</v>
      </c>
      <c r="Q36" s="97">
        <v>9317441.5</v>
      </c>
      <c r="R36" s="99">
        <f>SUM(R27:R34)</f>
        <v>8039134</v>
      </c>
      <c r="S36" s="97">
        <f>SUM(S27:S35)</f>
        <v>6928065.3399999999</v>
      </c>
      <c r="T36" s="97">
        <f>SUM(T27:T35)</f>
        <v>4178033.33</v>
      </c>
      <c r="U36" s="97">
        <f>SUM(U27:U35)</f>
        <v>16952080.489999998</v>
      </c>
      <c r="V36" s="100">
        <f>SUM(V27:V34)</f>
        <v>1151671.4899999993</v>
      </c>
      <c r="W36" s="260">
        <f>+V36/R36</f>
        <v>0.14325815317918564</v>
      </c>
      <c r="X36" s="97">
        <f>SUM(X27:X35)</f>
        <v>15731609.270000003</v>
      </c>
      <c r="Y36" s="337">
        <f t="shared" ref="Y36:AD36" si="7">SUM(Y27:Y35)</f>
        <v>10840882.75</v>
      </c>
      <c r="Z36" s="99">
        <f>SUM(Z27:Z35)</f>
        <v>11182881.705839522</v>
      </c>
      <c r="AA36" s="97">
        <f t="shared" si="7"/>
        <v>11716926.365632389</v>
      </c>
      <c r="AB36" s="97">
        <f t="shared" si="7"/>
        <v>13609905.732158</v>
      </c>
      <c r="AC36" s="97">
        <f t="shared" si="7"/>
        <v>14621646.111531112</v>
      </c>
      <c r="AD36" s="244">
        <f t="shared" si="7"/>
        <v>14686228.001182573</v>
      </c>
      <c r="AF36" s="85" t="s">
        <v>2</v>
      </c>
      <c r="AG36" s="3" t="s">
        <v>2</v>
      </c>
    </row>
    <row r="37" spans="2:35" ht="13.35" hidden="1" customHeight="1" x14ac:dyDescent="0.25">
      <c r="B37" s="103" t="s">
        <v>28</v>
      </c>
      <c r="C37" s="47"/>
      <c r="D37" s="47">
        <f>D36/C36-1</f>
        <v>0.11725898723764505</v>
      </c>
      <c r="E37" s="47">
        <f>E36/D36-1</f>
        <v>1.9868416234119834E-2</v>
      </c>
      <c r="F37" s="47">
        <f>F36/E36-1</f>
        <v>-3.36039157888125E-2</v>
      </c>
      <c r="G37" s="87" t="e">
        <f>G36/#REF!-1</f>
        <v>#REF!</v>
      </c>
      <c r="H37" s="87"/>
      <c r="I37" s="104">
        <f>I36/G36-1</f>
        <v>4.09707696936501E-2</v>
      </c>
      <c r="J37" s="105"/>
      <c r="K37" s="104"/>
      <c r="L37" s="88" t="e">
        <f>L36/#REF!-1</f>
        <v>#REF!</v>
      </c>
      <c r="M37" s="104"/>
      <c r="N37" s="94"/>
      <c r="O37" s="95"/>
      <c r="P37" s="89" t="e">
        <f>P36/#REF!-1</f>
        <v>#REF!</v>
      </c>
      <c r="Q37" s="85">
        <v>3.045676518907614E-2</v>
      </c>
      <c r="R37" s="88"/>
      <c r="S37" s="87"/>
      <c r="T37" s="87" t="e">
        <f>T36/#REF!-1</f>
        <v>#REF!</v>
      </c>
      <c r="U37" s="87" t="e">
        <f>U36/#REF!-1</f>
        <v>#REF!</v>
      </c>
      <c r="V37" s="94"/>
      <c r="W37" s="94"/>
      <c r="X37" s="87" t="e">
        <f>X36/#REF!-1</f>
        <v>#REF!</v>
      </c>
      <c r="Y37" s="338" t="e">
        <f>Y36/#REF!-1</f>
        <v>#REF!</v>
      </c>
      <c r="Z37" s="356" t="e">
        <f>Z36/#REF!-1</f>
        <v>#REF!</v>
      </c>
      <c r="AA37" s="104" t="e">
        <f>AA36/#REF!-1</f>
        <v>#REF!</v>
      </c>
      <c r="AB37" s="104">
        <f>AB36/R36-1</f>
        <v>0.69295669560402895</v>
      </c>
      <c r="AC37" s="104">
        <f>AC36/T36-1</f>
        <v>2.4996480297420489</v>
      </c>
      <c r="AD37" s="245">
        <f>AD36/U36-1</f>
        <v>-0.13366220683968832</v>
      </c>
      <c r="AF37" s="85"/>
    </row>
    <row r="38" spans="2:35" ht="13.35" hidden="1" customHeight="1" x14ac:dyDescent="0.25">
      <c r="C38" s="47"/>
      <c r="D38" s="47"/>
      <c r="E38" s="47"/>
      <c r="F38" s="47"/>
      <c r="G38" s="87"/>
      <c r="H38" s="87"/>
      <c r="I38" s="104"/>
      <c r="J38" s="105"/>
      <c r="K38" s="104"/>
      <c r="L38" s="88"/>
      <c r="M38" s="104"/>
      <c r="N38" s="94"/>
      <c r="O38" s="95"/>
      <c r="P38" s="89"/>
      <c r="Q38" s="85"/>
      <c r="R38" s="88"/>
      <c r="S38" s="87"/>
      <c r="T38" s="87"/>
      <c r="U38" s="87"/>
      <c r="V38" s="94"/>
      <c r="W38" s="94"/>
      <c r="X38" s="87"/>
      <c r="Y38" s="338"/>
      <c r="Z38" s="356"/>
      <c r="AA38" s="104"/>
      <c r="AB38" s="104"/>
      <c r="AC38" s="104"/>
      <c r="AD38" s="245"/>
      <c r="AF38" s="85"/>
    </row>
    <row r="39" spans="2:35" ht="13.35" hidden="1" customHeight="1" x14ac:dyDescent="0.25">
      <c r="B39" s="2" t="s">
        <v>29</v>
      </c>
      <c r="C39" s="47">
        <v>2145821.02</v>
      </c>
      <c r="D39" s="47">
        <v>2162565.1399999997</v>
      </c>
      <c r="E39" s="47">
        <v>2097865.7400000002</v>
      </c>
      <c r="F39" s="47" t="e">
        <v>#REF!</v>
      </c>
      <c r="G39" s="87" t="e">
        <f>#REF!</f>
        <v>#REF!</v>
      </c>
      <c r="H39" s="87"/>
      <c r="I39" s="104" t="e">
        <f>#REF!</f>
        <v>#REF!</v>
      </c>
      <c r="J39" s="105"/>
      <c r="K39" s="104"/>
      <c r="L39" s="88" t="e">
        <f>#REF!</f>
        <v>#REF!</v>
      </c>
      <c r="M39" s="104"/>
      <c r="N39" s="94"/>
      <c r="O39" s="95"/>
      <c r="P39" s="89" t="e">
        <f>#REF!</f>
        <v>#REF!</v>
      </c>
      <c r="Q39" s="85" t="e">
        <v>#REF!</v>
      </c>
      <c r="R39" s="88"/>
      <c r="S39" s="87"/>
      <c r="T39" s="87" t="e">
        <f>#REF!</f>
        <v>#REF!</v>
      </c>
      <c r="U39" s="87" t="e">
        <f>#REF!</f>
        <v>#REF!</v>
      </c>
      <c r="V39" s="94"/>
      <c r="W39" s="94"/>
      <c r="X39" s="87" t="e">
        <f>#REF!</f>
        <v>#REF!</v>
      </c>
      <c r="Y39" s="338" t="e">
        <f>#REF!</f>
        <v>#REF!</v>
      </c>
      <c r="Z39" s="356" t="e">
        <f>#REF!</f>
        <v>#REF!</v>
      </c>
      <c r="AA39" s="104" t="e">
        <f>#REF!</f>
        <v>#REF!</v>
      </c>
      <c r="AB39" s="104" t="e">
        <f>#REF!</f>
        <v>#REF!</v>
      </c>
      <c r="AC39" s="104" t="e">
        <f>#REF!</f>
        <v>#REF!</v>
      </c>
      <c r="AD39" s="245" t="e">
        <f>#REF!</f>
        <v>#REF!</v>
      </c>
      <c r="AF39" s="85"/>
    </row>
    <row r="40" spans="2:35" ht="13.35" hidden="1" customHeight="1" x14ac:dyDescent="0.25">
      <c r="B40" s="2" t="s">
        <v>30</v>
      </c>
      <c r="C40" s="47">
        <v>2029080.0199999986</v>
      </c>
      <c r="D40" s="47">
        <v>1793937.2150000003</v>
      </c>
      <c r="E40" s="47">
        <v>1737821.879999999</v>
      </c>
      <c r="F40" s="47" t="e">
        <v>#REF!</v>
      </c>
      <c r="G40" s="87" t="e">
        <f>#REF!</f>
        <v>#REF!</v>
      </c>
      <c r="H40" s="87"/>
      <c r="I40" s="104" t="e">
        <f>#REF!</f>
        <v>#REF!</v>
      </c>
      <c r="J40" s="105"/>
      <c r="K40" s="104"/>
      <c r="L40" s="88" t="e">
        <f>#REF!</f>
        <v>#REF!</v>
      </c>
      <c r="M40" s="104"/>
      <c r="N40" s="94"/>
      <c r="O40" s="95"/>
      <c r="P40" s="89" t="e">
        <f>#REF!</f>
        <v>#REF!</v>
      </c>
      <c r="Q40" s="85" t="e">
        <v>#REF!</v>
      </c>
      <c r="R40" s="88"/>
      <c r="S40" s="87"/>
      <c r="T40" s="87" t="e">
        <f>#REF!</f>
        <v>#REF!</v>
      </c>
      <c r="U40" s="87" t="e">
        <f>#REF!</f>
        <v>#REF!</v>
      </c>
      <c r="V40" s="94"/>
      <c r="W40" s="94"/>
      <c r="X40" s="87" t="e">
        <f>#REF!</f>
        <v>#REF!</v>
      </c>
      <c r="Y40" s="338" t="e">
        <f>#REF!</f>
        <v>#REF!</v>
      </c>
      <c r="Z40" s="356" t="e">
        <f>#REF!</f>
        <v>#REF!</v>
      </c>
      <c r="AA40" s="104" t="e">
        <f>#REF!</f>
        <v>#REF!</v>
      </c>
      <c r="AB40" s="104" t="e">
        <f>#REF!</f>
        <v>#REF!</v>
      </c>
      <c r="AC40" s="104" t="e">
        <f>#REF!</f>
        <v>#REF!</v>
      </c>
      <c r="AD40" s="245" t="e">
        <f>#REF!</f>
        <v>#REF!</v>
      </c>
      <c r="AF40" s="85"/>
    </row>
    <row r="41" spans="2:35" ht="13.35" hidden="1" customHeight="1" x14ac:dyDescent="0.25">
      <c r="B41" s="2" t="s">
        <v>31</v>
      </c>
      <c r="C41" s="47">
        <v>2236858.4700000002</v>
      </c>
      <c r="D41" s="47">
        <v>2265490.2250000001</v>
      </c>
      <c r="E41" s="47">
        <v>2229687.3200000003</v>
      </c>
      <c r="F41" s="47" t="e">
        <v>#REF!</v>
      </c>
      <c r="G41" s="87" t="e">
        <f>#REF!</f>
        <v>#REF!</v>
      </c>
      <c r="H41" s="87"/>
      <c r="I41" s="104" t="e">
        <f>#REF!</f>
        <v>#REF!</v>
      </c>
      <c r="J41" s="105"/>
      <c r="K41" s="104"/>
      <c r="L41" s="88" t="e">
        <f>#REF!</f>
        <v>#REF!</v>
      </c>
      <c r="M41" s="104"/>
      <c r="N41" s="94"/>
      <c r="O41" s="95"/>
      <c r="P41" s="89" t="e">
        <f>#REF!</f>
        <v>#REF!</v>
      </c>
      <c r="Q41" s="85" t="e">
        <v>#REF!</v>
      </c>
      <c r="R41" s="88"/>
      <c r="S41" s="87"/>
      <c r="T41" s="87" t="e">
        <f>#REF!</f>
        <v>#REF!</v>
      </c>
      <c r="U41" s="87" t="e">
        <f>#REF!</f>
        <v>#REF!</v>
      </c>
      <c r="V41" s="94"/>
      <c r="W41" s="94"/>
      <c r="X41" s="87" t="e">
        <f>#REF!</f>
        <v>#REF!</v>
      </c>
      <c r="Y41" s="338" t="e">
        <f>#REF!</f>
        <v>#REF!</v>
      </c>
      <c r="Z41" s="356" t="e">
        <f>#REF!</f>
        <v>#REF!</v>
      </c>
      <c r="AA41" s="104" t="e">
        <f>#REF!</f>
        <v>#REF!</v>
      </c>
      <c r="AB41" s="104" t="e">
        <f>#REF!</f>
        <v>#REF!</v>
      </c>
      <c r="AC41" s="104" t="e">
        <f>#REF!</f>
        <v>#REF!</v>
      </c>
      <c r="AD41" s="245" t="e">
        <f>#REF!</f>
        <v>#REF!</v>
      </c>
      <c r="AF41" s="85"/>
    </row>
    <row r="42" spans="2:35" ht="13.35" hidden="1" customHeight="1" x14ac:dyDescent="0.25">
      <c r="B42" s="2" t="s">
        <v>32</v>
      </c>
      <c r="C42" s="47">
        <v>2762524.09</v>
      </c>
      <c r="D42" s="47">
        <v>2788770.4849999999</v>
      </c>
      <c r="E42" s="47">
        <v>2860135.3</v>
      </c>
      <c r="F42" s="47" t="e">
        <v>#REF!</v>
      </c>
      <c r="G42" s="87" t="e">
        <f>#REF!</f>
        <v>#REF!</v>
      </c>
      <c r="H42" s="87"/>
      <c r="I42" s="104" t="e">
        <f>#REF!</f>
        <v>#REF!</v>
      </c>
      <c r="J42" s="105"/>
      <c r="K42" s="104"/>
      <c r="L42" s="88" t="e">
        <f>#REF!</f>
        <v>#REF!</v>
      </c>
      <c r="M42" s="104"/>
      <c r="N42" s="94"/>
      <c r="O42" s="95"/>
      <c r="P42" s="89" t="e">
        <f>#REF!</f>
        <v>#REF!</v>
      </c>
      <c r="Q42" s="85" t="e">
        <v>#REF!</v>
      </c>
      <c r="R42" s="88"/>
      <c r="S42" s="87"/>
      <c r="T42" s="87" t="e">
        <f>#REF!</f>
        <v>#REF!</v>
      </c>
      <c r="U42" s="87" t="e">
        <f>#REF!</f>
        <v>#REF!</v>
      </c>
      <c r="V42" s="94"/>
      <c r="W42" s="94"/>
      <c r="X42" s="87" t="e">
        <f>#REF!</f>
        <v>#REF!</v>
      </c>
      <c r="Y42" s="338" t="e">
        <f>#REF!</f>
        <v>#REF!</v>
      </c>
      <c r="Z42" s="356" t="e">
        <f>#REF!</f>
        <v>#REF!</v>
      </c>
      <c r="AA42" s="104" t="e">
        <f>#REF!</f>
        <v>#REF!</v>
      </c>
      <c r="AB42" s="104" t="e">
        <f>#REF!</f>
        <v>#REF!</v>
      </c>
      <c r="AC42" s="104" t="e">
        <f>#REF!</f>
        <v>#REF!</v>
      </c>
      <c r="AD42" s="245" t="e">
        <f>#REF!</f>
        <v>#REF!</v>
      </c>
      <c r="AF42" s="85"/>
    </row>
    <row r="43" spans="2:35" ht="13.35" hidden="1" customHeight="1" x14ac:dyDescent="0.25">
      <c r="B43" s="2" t="s">
        <v>33</v>
      </c>
      <c r="C43" s="47">
        <v>2441153.42</v>
      </c>
      <c r="D43" s="47">
        <v>2477397.73</v>
      </c>
      <c r="E43" s="47">
        <v>2191999.3499999996</v>
      </c>
      <c r="F43" s="47" t="e">
        <v>#REF!</v>
      </c>
      <c r="G43" s="87" t="e">
        <f>#REF!</f>
        <v>#REF!</v>
      </c>
      <c r="H43" s="87"/>
      <c r="I43" s="104" t="e">
        <f>#REF!</f>
        <v>#REF!</v>
      </c>
      <c r="J43" s="105"/>
      <c r="K43" s="104"/>
      <c r="L43" s="88" t="e">
        <f>#REF!</f>
        <v>#REF!</v>
      </c>
      <c r="M43" s="104"/>
      <c r="N43" s="94"/>
      <c r="O43" s="95"/>
      <c r="P43" s="89" t="e">
        <f>#REF!</f>
        <v>#REF!</v>
      </c>
      <c r="Q43" s="85" t="e">
        <v>#REF!</v>
      </c>
      <c r="R43" s="88"/>
      <c r="S43" s="87"/>
      <c r="T43" s="87" t="e">
        <f>#REF!</f>
        <v>#REF!</v>
      </c>
      <c r="U43" s="87" t="e">
        <f>#REF!</f>
        <v>#REF!</v>
      </c>
      <c r="V43" s="94"/>
      <c r="W43" s="94"/>
      <c r="X43" s="87" t="e">
        <f>#REF!</f>
        <v>#REF!</v>
      </c>
      <c r="Y43" s="338" t="e">
        <f>#REF!</f>
        <v>#REF!</v>
      </c>
      <c r="Z43" s="356" t="e">
        <f>#REF!</f>
        <v>#REF!</v>
      </c>
      <c r="AA43" s="104" t="e">
        <f>#REF!</f>
        <v>#REF!</v>
      </c>
      <c r="AB43" s="104" t="e">
        <f>#REF!</f>
        <v>#REF!</v>
      </c>
      <c r="AC43" s="104" t="e">
        <f>#REF!</f>
        <v>#REF!</v>
      </c>
      <c r="AD43" s="245" t="e">
        <f>#REF!</f>
        <v>#REF!</v>
      </c>
      <c r="AF43" s="85"/>
    </row>
    <row r="44" spans="2:35" ht="13.35" hidden="1" customHeight="1" x14ac:dyDescent="0.25">
      <c r="B44" s="2" t="s">
        <v>34</v>
      </c>
      <c r="C44" s="47">
        <v>1396667.2700000003</v>
      </c>
      <c r="D44" s="47">
        <v>1535611.5649999999</v>
      </c>
      <c r="E44" s="47">
        <v>1415245.7699999996</v>
      </c>
      <c r="F44" s="47" t="e">
        <v>#REF!</v>
      </c>
      <c r="G44" s="87" t="e">
        <f>#REF!</f>
        <v>#REF!</v>
      </c>
      <c r="H44" s="87"/>
      <c r="I44" s="104" t="e">
        <f>#REF!</f>
        <v>#REF!</v>
      </c>
      <c r="J44" s="105"/>
      <c r="K44" s="104"/>
      <c r="L44" s="88" t="e">
        <f>#REF!</f>
        <v>#REF!</v>
      </c>
      <c r="M44" s="104"/>
      <c r="N44" s="94"/>
      <c r="O44" s="95"/>
      <c r="P44" s="89" t="e">
        <f>#REF!</f>
        <v>#REF!</v>
      </c>
      <c r="Q44" s="85" t="e">
        <v>#REF!</v>
      </c>
      <c r="R44" s="88"/>
      <c r="S44" s="87"/>
      <c r="T44" s="87" t="e">
        <f>#REF!</f>
        <v>#REF!</v>
      </c>
      <c r="U44" s="87" t="e">
        <f>#REF!</f>
        <v>#REF!</v>
      </c>
      <c r="V44" s="94"/>
      <c r="W44" s="94"/>
      <c r="X44" s="87" t="e">
        <f>#REF!</f>
        <v>#REF!</v>
      </c>
      <c r="Y44" s="338" t="e">
        <f>#REF!</f>
        <v>#REF!</v>
      </c>
      <c r="Z44" s="356" t="e">
        <f>#REF!</f>
        <v>#REF!</v>
      </c>
      <c r="AA44" s="104" t="e">
        <f>#REF!</f>
        <v>#REF!</v>
      </c>
      <c r="AB44" s="104" t="e">
        <f>#REF!</f>
        <v>#REF!</v>
      </c>
      <c r="AC44" s="104" t="e">
        <f>#REF!</f>
        <v>#REF!</v>
      </c>
      <c r="AD44" s="245" t="e">
        <f>#REF!</f>
        <v>#REF!</v>
      </c>
      <c r="AF44" s="85"/>
    </row>
    <row r="45" spans="2:35" ht="13.35" hidden="1" customHeight="1" x14ac:dyDescent="0.25">
      <c r="B45" s="2" t="s">
        <v>35</v>
      </c>
      <c r="C45" s="47">
        <v>385846.55000000005</v>
      </c>
      <c r="D45" s="47">
        <v>336699.02</v>
      </c>
      <c r="E45" s="47">
        <v>321497.58</v>
      </c>
      <c r="F45" s="47" t="e">
        <v>#REF!</v>
      </c>
      <c r="G45" s="87" t="e">
        <f>#REF!</f>
        <v>#REF!</v>
      </c>
      <c r="H45" s="87"/>
      <c r="I45" s="104" t="e">
        <f>#REF!</f>
        <v>#REF!</v>
      </c>
      <c r="J45" s="105"/>
      <c r="K45" s="104"/>
      <c r="L45" s="88" t="e">
        <f>#REF!</f>
        <v>#REF!</v>
      </c>
      <c r="M45" s="104"/>
      <c r="N45" s="94"/>
      <c r="O45" s="95"/>
      <c r="P45" s="89" t="e">
        <f>#REF!</f>
        <v>#REF!</v>
      </c>
      <c r="Q45" s="85" t="e">
        <v>#REF!</v>
      </c>
      <c r="R45" s="88"/>
      <c r="S45" s="87"/>
      <c r="T45" s="87" t="e">
        <f>#REF!</f>
        <v>#REF!</v>
      </c>
      <c r="U45" s="87" t="e">
        <f>#REF!</f>
        <v>#REF!</v>
      </c>
      <c r="V45" s="94"/>
      <c r="W45" s="94"/>
      <c r="X45" s="87" t="e">
        <f>#REF!</f>
        <v>#REF!</v>
      </c>
      <c r="Y45" s="338" t="e">
        <f>#REF!</f>
        <v>#REF!</v>
      </c>
      <c r="Z45" s="356" t="e">
        <f>#REF!</f>
        <v>#REF!</v>
      </c>
      <c r="AA45" s="104" t="e">
        <f>#REF!</f>
        <v>#REF!</v>
      </c>
      <c r="AB45" s="104" t="e">
        <f>#REF!</f>
        <v>#REF!</v>
      </c>
      <c r="AC45" s="104" t="e">
        <f>#REF!</f>
        <v>#REF!</v>
      </c>
      <c r="AD45" s="245" t="e">
        <f>#REF!</f>
        <v>#REF!</v>
      </c>
      <c r="AF45" s="85"/>
    </row>
    <row r="46" spans="2:35" ht="12" customHeight="1" x14ac:dyDescent="0.25">
      <c r="C46" s="47"/>
      <c r="D46" s="47"/>
      <c r="E46" s="47"/>
      <c r="F46" s="47"/>
      <c r="G46" s="87"/>
      <c r="H46" s="87"/>
      <c r="I46" s="87"/>
      <c r="J46" s="39"/>
      <c r="K46" s="87"/>
      <c r="L46" s="88"/>
      <c r="M46" s="87"/>
      <c r="N46" s="94"/>
      <c r="O46" s="95"/>
      <c r="P46" s="89"/>
      <c r="Q46" s="85"/>
      <c r="R46" s="88"/>
      <c r="S46" s="87"/>
      <c r="T46" s="87"/>
      <c r="U46" s="87"/>
      <c r="V46" s="94"/>
      <c r="W46" s="94"/>
      <c r="X46" s="87"/>
      <c r="Y46" s="336"/>
      <c r="Z46" s="336"/>
      <c r="AA46" s="87"/>
      <c r="AB46" s="87"/>
      <c r="AC46" s="87"/>
      <c r="AD46" s="242"/>
      <c r="AF46" s="85"/>
    </row>
    <row r="47" spans="2:35" ht="12" customHeight="1" x14ac:dyDescent="0.25">
      <c r="C47" s="106"/>
      <c r="D47" s="107"/>
      <c r="E47" s="107"/>
      <c r="F47" s="107"/>
      <c r="G47" s="107"/>
      <c r="H47" s="107"/>
      <c r="I47" s="107"/>
      <c r="J47" s="107"/>
      <c r="K47" s="107"/>
      <c r="L47" s="109"/>
      <c r="M47" s="108"/>
      <c r="N47" s="110"/>
      <c r="O47" s="45"/>
      <c r="P47" s="111"/>
      <c r="Q47" s="112"/>
      <c r="R47" s="113"/>
      <c r="S47" s="107"/>
      <c r="T47" s="107"/>
      <c r="U47" s="107"/>
      <c r="V47" s="110"/>
      <c r="W47" s="110"/>
      <c r="X47" s="107"/>
      <c r="Y47" s="339"/>
      <c r="Z47" s="339"/>
      <c r="AA47" s="114"/>
      <c r="AB47" s="114"/>
      <c r="AC47" s="114"/>
      <c r="AD47" s="246"/>
      <c r="AF47" s="85" t="s">
        <v>2</v>
      </c>
      <c r="AG47" s="3" t="s">
        <v>2</v>
      </c>
    </row>
    <row r="48" spans="2:35" ht="12" customHeight="1" x14ac:dyDescent="0.25">
      <c r="B48" s="2" t="s">
        <v>36</v>
      </c>
      <c r="C48" s="47">
        <v>3175280</v>
      </c>
      <c r="D48" s="47">
        <v>3281959</v>
      </c>
      <c r="E48" s="47">
        <v>3281959</v>
      </c>
      <c r="F48" s="47">
        <v>3211500</v>
      </c>
      <c r="G48" s="47">
        <v>3031812</v>
      </c>
      <c r="H48" s="87">
        <f>$H$24*H10</f>
        <v>3404074.608</v>
      </c>
      <c r="I48" s="87">
        <v>2909301</v>
      </c>
      <c r="J48" s="39">
        <f>I48/$I$75</f>
        <v>0.18360063314112957</v>
      </c>
      <c r="K48" s="87">
        <v>3208395</v>
      </c>
      <c r="L48" s="50">
        <v>3154944</v>
      </c>
      <c r="M48" s="87">
        <v>3202924</v>
      </c>
      <c r="N48" s="51">
        <f>-L48+M48</f>
        <v>47980</v>
      </c>
      <c r="O48" s="45">
        <f t="shared" ref="O48:O55" si="8">+N48/L48</f>
        <v>1.5207876906848427E-2</v>
      </c>
      <c r="P48" s="52">
        <f>3154944+47980</f>
        <v>3202924</v>
      </c>
      <c r="Q48" s="114">
        <v>3400889.7120000003</v>
      </c>
      <c r="R48" s="113">
        <v>3059965</v>
      </c>
      <c r="S48" s="87">
        <v>2868183.53</v>
      </c>
      <c r="T48" s="87">
        <v>2515371</v>
      </c>
      <c r="U48" s="87">
        <v>2315192.02</v>
      </c>
      <c r="V48" s="51">
        <f>-R48+U48</f>
        <v>-744772.98</v>
      </c>
      <c r="W48" s="110">
        <f t="shared" ref="W48:W55" si="9">+V48/R48</f>
        <v>-0.24339264664791918</v>
      </c>
      <c r="X48" s="87">
        <v>2472411.1</v>
      </c>
      <c r="Y48" s="336">
        <v>2476143</v>
      </c>
      <c r="Z48" s="88">
        <v>2475188.7999999998</v>
      </c>
      <c r="AA48" s="87">
        <v>2447438.0000000019</v>
      </c>
      <c r="AB48" s="87">
        <v>2582959.7249500002</v>
      </c>
      <c r="AC48" s="87">
        <v>2636037.0422820053</v>
      </c>
      <c r="AD48" s="242">
        <v>2689087.7793382281</v>
      </c>
      <c r="AF48" s="471"/>
      <c r="AG48" s="85"/>
      <c r="AH48" s="85"/>
      <c r="AI48" s="85"/>
    </row>
    <row r="49" spans="1:35" ht="12" customHeight="1" x14ac:dyDescent="0.25">
      <c r="B49" s="2" t="s">
        <v>37</v>
      </c>
      <c r="C49" s="47">
        <v>1980089</v>
      </c>
      <c r="D49" s="47">
        <v>2260421</v>
      </c>
      <c r="E49" s="47">
        <v>2005880</v>
      </c>
      <c r="F49" s="47">
        <v>2363698</v>
      </c>
      <c r="G49" s="47">
        <v>2162644</v>
      </c>
      <c r="H49" s="87">
        <f>$H$24*H11</f>
        <v>2561842.8000000003</v>
      </c>
      <c r="I49" s="87">
        <v>2482732</v>
      </c>
      <c r="J49" s="39">
        <f>I49/$I$75</f>
        <v>0.15668064841683377</v>
      </c>
      <c r="K49" s="87">
        <v>2344365</v>
      </c>
      <c r="L49" s="50">
        <v>2467047</v>
      </c>
      <c r="M49" s="87">
        <v>2369577</v>
      </c>
      <c r="N49" s="51">
        <f>-L49+M49</f>
        <v>-97470</v>
      </c>
      <c r="O49" s="45">
        <f t="shared" si="8"/>
        <v>-3.9508773039184091E-2</v>
      </c>
      <c r="P49" s="52">
        <f>2467047-97470</f>
        <v>2369577</v>
      </c>
      <c r="Q49" s="114">
        <v>2607000</v>
      </c>
      <c r="R49" s="113">
        <v>2516068</v>
      </c>
      <c r="S49" s="87">
        <v>2503052.04</v>
      </c>
      <c r="T49" s="87">
        <v>755560</v>
      </c>
      <c r="U49" s="87">
        <v>661258.39</v>
      </c>
      <c r="V49" s="51">
        <f>-R49+U49</f>
        <v>-1854809.6099999999</v>
      </c>
      <c r="W49" s="110">
        <f t="shared" si="9"/>
        <v>-0.73718580340435946</v>
      </c>
      <c r="X49" s="87">
        <v>1397120.75</v>
      </c>
      <c r="Y49" s="336">
        <v>1866825</v>
      </c>
      <c r="Z49" s="88">
        <v>1876572</v>
      </c>
      <c r="AA49" s="87">
        <v>1575427</v>
      </c>
      <c r="AB49" s="87">
        <v>1900963.7783000001</v>
      </c>
      <c r="AC49" s="87">
        <v>2053040.8805640002</v>
      </c>
      <c r="AD49" s="242">
        <v>1361786.7586050001</v>
      </c>
      <c r="AF49" s="471"/>
    </row>
    <row r="50" spans="1:35" ht="12" customHeight="1" x14ac:dyDescent="0.25">
      <c r="B50" s="2" t="s">
        <v>77</v>
      </c>
      <c r="C50" s="47"/>
      <c r="D50" s="47"/>
      <c r="E50" s="47"/>
      <c r="F50" s="47"/>
      <c r="G50" s="47"/>
      <c r="H50" s="87"/>
      <c r="I50" s="87"/>
      <c r="J50" s="39"/>
      <c r="K50" s="87"/>
      <c r="L50" s="50"/>
      <c r="M50" s="87"/>
      <c r="N50" s="51"/>
      <c r="O50" s="45"/>
      <c r="P50" s="52"/>
      <c r="Q50" s="114"/>
      <c r="R50" s="113"/>
      <c r="S50" s="87"/>
      <c r="T50" s="87"/>
      <c r="U50" s="114"/>
      <c r="V50" s="51"/>
      <c r="W50" s="110"/>
      <c r="X50" s="87">
        <v>126148.67</v>
      </c>
      <c r="Y50" s="336">
        <v>179137.08500000002</v>
      </c>
      <c r="Z50" s="88">
        <v>183380</v>
      </c>
      <c r="AA50" s="87">
        <v>202592.99999999965</v>
      </c>
      <c r="AB50" s="87">
        <v>211118.82</v>
      </c>
      <c r="AC50" s="87">
        <v>226952.73150000002</v>
      </c>
      <c r="AD50" s="242">
        <v>243974.18636250001</v>
      </c>
      <c r="AF50" s="85"/>
    </row>
    <row r="51" spans="1:35" ht="12" customHeight="1" x14ac:dyDescent="0.25">
      <c r="B51" s="2" t="s">
        <v>38</v>
      </c>
      <c r="C51" s="47">
        <v>1982298</v>
      </c>
      <c r="D51" s="47">
        <v>1549550</v>
      </c>
      <c r="E51" s="47">
        <v>1915658.99</v>
      </c>
      <c r="F51" s="47">
        <v>1652971</v>
      </c>
      <c r="G51" s="47">
        <v>2034562</v>
      </c>
      <c r="H51" s="87">
        <f>I51</f>
        <v>1601847.4600000002</v>
      </c>
      <c r="I51" s="87">
        <f>+Divisions!C64</f>
        <v>1601847.4600000002</v>
      </c>
      <c r="J51" s="39">
        <f>I51/$I$75</f>
        <v>0.10108964588109318</v>
      </c>
      <c r="K51" s="87">
        <f>+Divisions!D64</f>
        <v>2153165.7400000002</v>
      </c>
      <c r="L51" s="55">
        <v>2164009</v>
      </c>
      <c r="M51" s="87">
        <v>2120988</v>
      </c>
      <c r="N51" s="51">
        <f>-L51+M51</f>
        <v>-43021</v>
      </c>
      <c r="O51" s="45">
        <f t="shared" si="8"/>
        <v>-1.9880231551717205E-2</v>
      </c>
      <c r="P51" s="56">
        <f>2164009-43021</f>
        <v>2120988</v>
      </c>
      <c r="Q51" s="112">
        <v>1581970</v>
      </c>
      <c r="R51" s="113">
        <v>1638403</v>
      </c>
      <c r="S51" s="87">
        <f>+Divisions!E64</f>
        <v>1563354.06</v>
      </c>
      <c r="T51" s="87">
        <f>+Divisions!F64</f>
        <v>2255853.5700000003</v>
      </c>
      <c r="U51" s="87">
        <f>+Divisions!G64</f>
        <v>1011561.3400000001</v>
      </c>
      <c r="V51" s="51">
        <f>-R51+U51</f>
        <v>-626841.65999999992</v>
      </c>
      <c r="W51" s="110">
        <f t="shared" si="9"/>
        <v>-0.38259308607223003</v>
      </c>
      <c r="X51" s="87">
        <f>+Divisions!H64</f>
        <v>1856743.5</v>
      </c>
      <c r="Y51" s="336">
        <f>+Divisions!I64</f>
        <v>1883552.99</v>
      </c>
      <c r="Z51" s="88">
        <v>1346046.88</v>
      </c>
      <c r="AA51" s="87">
        <f>+Divisions!K64</f>
        <v>1976523.0000000009</v>
      </c>
      <c r="AB51" s="87">
        <f>+Divisions!L64</f>
        <v>1484227.9956574999</v>
      </c>
      <c r="AC51" s="87">
        <f>+Divisions!M64</f>
        <v>2166850.5277790753</v>
      </c>
      <c r="AD51" s="242">
        <f>+Divisions!N64</f>
        <v>1566216.8838998657</v>
      </c>
      <c r="AF51" s="115"/>
    </row>
    <row r="52" spans="1:35" ht="12" customHeight="1" x14ac:dyDescent="0.25">
      <c r="B52" s="2" t="s">
        <v>39</v>
      </c>
      <c r="C52" s="47">
        <v>17526</v>
      </c>
      <c r="D52" s="47">
        <v>16735</v>
      </c>
      <c r="E52" s="47">
        <v>16362</v>
      </c>
      <c r="F52" s="47">
        <v>16365</v>
      </c>
      <c r="G52" s="47">
        <v>16348</v>
      </c>
      <c r="H52" s="87">
        <f>I52</f>
        <v>16832</v>
      </c>
      <c r="I52" s="87">
        <v>16832</v>
      </c>
      <c r="J52" s="39">
        <f>I52/$I$75</f>
        <v>1.0622365499587333E-3</v>
      </c>
      <c r="K52" s="87">
        <v>18853.04</v>
      </c>
      <c r="L52" s="50">
        <v>19020</v>
      </c>
      <c r="M52" s="87">
        <v>19020</v>
      </c>
      <c r="N52" s="51">
        <f>-L52+M52</f>
        <v>0</v>
      </c>
      <c r="O52" s="45">
        <f t="shared" si="8"/>
        <v>0</v>
      </c>
      <c r="P52" s="52">
        <v>19020</v>
      </c>
      <c r="Q52" s="112">
        <v>16000</v>
      </c>
      <c r="R52" s="113">
        <v>18720</v>
      </c>
      <c r="S52" s="87">
        <v>19371</v>
      </c>
      <c r="T52" s="87">
        <v>19199</v>
      </c>
      <c r="U52" s="87">
        <v>18777.62</v>
      </c>
      <c r="V52" s="51">
        <f>-R52+U52</f>
        <v>57.619999999998981</v>
      </c>
      <c r="W52" s="110">
        <f t="shared" si="9"/>
        <v>3.0779914529913987E-3</v>
      </c>
      <c r="X52" s="87">
        <v>19211.91</v>
      </c>
      <c r="Y52" s="336">
        <v>17384</v>
      </c>
      <c r="Z52" s="88">
        <v>18274</v>
      </c>
      <c r="AA52" s="87">
        <v>18670.000000000004</v>
      </c>
      <c r="AB52" s="87">
        <f>+AB14*0.04</f>
        <v>22560.52</v>
      </c>
      <c r="AC52" s="87">
        <f>+AC14*0.04</f>
        <v>22560.52</v>
      </c>
      <c r="AD52" s="242">
        <f>+AD14*0.04</f>
        <v>22560.52</v>
      </c>
    </row>
    <row r="53" spans="1:35" ht="12" customHeight="1" x14ac:dyDescent="0.25">
      <c r="B53" s="2" t="s">
        <v>40</v>
      </c>
      <c r="C53" s="58">
        <v>463960</v>
      </c>
      <c r="D53" s="58">
        <v>523096</v>
      </c>
      <c r="E53" s="58">
        <v>350300.51</v>
      </c>
      <c r="F53" s="58">
        <v>413229</v>
      </c>
      <c r="G53" s="58">
        <v>601115</v>
      </c>
      <c r="H53" s="90">
        <v>530444</v>
      </c>
      <c r="I53" s="90">
        <f>462290-1</f>
        <v>462289</v>
      </c>
      <c r="J53" s="91">
        <f>I53/$I$75</f>
        <v>2.9174208201275718E-2</v>
      </c>
      <c r="K53" s="90">
        <f>576558-1</f>
        <v>576557</v>
      </c>
      <c r="L53" s="60">
        <v>752804</v>
      </c>
      <c r="M53" s="90">
        <v>670000</v>
      </c>
      <c r="N53" s="61">
        <f>-L53+M53</f>
        <v>-82804</v>
      </c>
      <c r="O53" s="62">
        <f t="shared" si="8"/>
        <v>-0.10999410205046732</v>
      </c>
      <c r="P53" s="63">
        <f>752804-402804+320000</f>
        <v>670000</v>
      </c>
      <c r="Q53" s="116">
        <v>550000</v>
      </c>
      <c r="R53" s="117">
        <v>563360</v>
      </c>
      <c r="S53" s="90">
        <v>580746.93999999994</v>
      </c>
      <c r="T53" s="90">
        <v>348967</v>
      </c>
      <c r="U53" s="90">
        <v>591034.98</v>
      </c>
      <c r="V53" s="61">
        <f>-R53+U53</f>
        <v>27674.979999999981</v>
      </c>
      <c r="W53" s="223">
        <f t="shared" si="9"/>
        <v>4.9124857994887784E-2</v>
      </c>
      <c r="X53" s="90">
        <v>449512.50000000006</v>
      </c>
      <c r="Y53" s="340">
        <v>349851</v>
      </c>
      <c r="Z53" s="60">
        <v>905728</v>
      </c>
      <c r="AA53" s="90">
        <v>626123.00000000035</v>
      </c>
      <c r="AB53" s="90">
        <f>+AB15*0.11</f>
        <v>656743.73857724923</v>
      </c>
      <c r="AC53" s="90">
        <f>+AC15*0.11</f>
        <v>681870.31083611166</v>
      </c>
      <c r="AD53" s="243">
        <f>+AD15*0.11</f>
        <v>708253.21170791739</v>
      </c>
      <c r="AF53" s="115"/>
    </row>
    <row r="54" spans="1:35" ht="12.75" hidden="1" customHeight="1" x14ac:dyDescent="0.25">
      <c r="B54" s="118"/>
      <c r="C54" s="47"/>
      <c r="D54" s="47"/>
      <c r="E54" s="47"/>
      <c r="F54" s="47"/>
      <c r="G54" s="87"/>
      <c r="H54" s="87"/>
      <c r="I54" s="104"/>
      <c r="J54" s="105"/>
      <c r="K54" s="104"/>
      <c r="L54" s="88"/>
      <c r="M54" s="104"/>
      <c r="N54" s="94"/>
      <c r="O54" s="45" t="e">
        <f t="shared" si="8"/>
        <v>#DIV/0!</v>
      </c>
      <c r="P54" s="89"/>
      <c r="Q54" s="85"/>
      <c r="R54" s="88"/>
      <c r="S54" s="87"/>
      <c r="T54" s="87"/>
      <c r="U54" s="87"/>
      <c r="V54" s="94"/>
      <c r="W54" s="110" t="e">
        <f t="shared" si="9"/>
        <v>#DIV/0!</v>
      </c>
      <c r="X54" s="87"/>
      <c r="Y54" s="338"/>
      <c r="Z54" s="356"/>
      <c r="AA54" s="104"/>
      <c r="AB54" s="104"/>
      <c r="AC54" s="104"/>
      <c r="AD54" s="245"/>
    </row>
    <row r="55" spans="1:35" ht="13.35" hidden="1" customHeight="1" x14ac:dyDescent="0.25">
      <c r="C55" s="47"/>
      <c r="D55" s="47"/>
      <c r="E55" s="47"/>
      <c r="F55" s="47"/>
      <c r="G55" s="87"/>
      <c r="H55" s="87"/>
      <c r="I55" s="104"/>
      <c r="J55" s="105"/>
      <c r="K55" s="104"/>
      <c r="L55" s="88"/>
      <c r="M55" s="104"/>
      <c r="N55" s="94"/>
      <c r="O55" s="45" t="e">
        <f t="shared" si="8"/>
        <v>#DIV/0!</v>
      </c>
      <c r="P55" s="89"/>
      <c r="Q55" s="85"/>
      <c r="R55" s="88"/>
      <c r="S55" s="87"/>
      <c r="T55" s="87"/>
      <c r="U55" s="87"/>
      <c r="V55" s="94"/>
      <c r="W55" s="110" t="e">
        <f t="shared" si="9"/>
        <v>#DIV/0!</v>
      </c>
      <c r="X55" s="87"/>
      <c r="Y55" s="338"/>
      <c r="Z55" s="356"/>
      <c r="AA55" s="104"/>
      <c r="AB55" s="104"/>
      <c r="AC55" s="104"/>
      <c r="AD55" s="245"/>
    </row>
    <row r="56" spans="1:35" ht="12" customHeight="1" x14ac:dyDescent="0.25">
      <c r="C56" s="49"/>
      <c r="D56" s="49"/>
      <c r="E56" s="49"/>
      <c r="F56" s="49"/>
      <c r="G56" s="87"/>
      <c r="H56" s="87"/>
      <c r="I56" s="87"/>
      <c r="J56" s="39"/>
      <c r="K56" s="87"/>
      <c r="L56" s="88"/>
      <c r="M56" s="87"/>
      <c r="N56" s="94"/>
      <c r="O56" s="95"/>
      <c r="P56" s="89"/>
      <c r="Q56" s="87"/>
      <c r="R56" s="88"/>
      <c r="S56" s="87"/>
      <c r="T56" s="87"/>
      <c r="U56" s="87"/>
      <c r="V56" s="94"/>
      <c r="W56" s="94"/>
      <c r="X56" s="87"/>
      <c r="Y56" s="336"/>
      <c r="Z56" s="336"/>
      <c r="AA56" s="87"/>
      <c r="AB56" s="87"/>
      <c r="AC56" s="87"/>
      <c r="AD56" s="242"/>
      <c r="AH56" s="119"/>
      <c r="AI56" s="119"/>
    </row>
    <row r="57" spans="1:35" ht="12" customHeight="1" x14ac:dyDescent="0.25">
      <c r="B57" s="2" t="s">
        <v>41</v>
      </c>
      <c r="C57" s="96">
        <f>SUM(C47:C53)</f>
        <v>7619153</v>
      </c>
      <c r="D57" s="96">
        <f>SUM(D47:D53)</f>
        <v>7631761</v>
      </c>
      <c r="E57" s="96">
        <f>SUM(E47:E53)</f>
        <v>7570160.5</v>
      </c>
      <c r="F57" s="96">
        <f>SUM(F47:F53)</f>
        <v>7657763</v>
      </c>
      <c r="G57" s="97">
        <f>SUM(G47:G53)</f>
        <v>7846481</v>
      </c>
      <c r="H57" s="96">
        <f>SUM(H48:H53)</f>
        <v>8115040.8679999998</v>
      </c>
      <c r="I57" s="97">
        <f>SUM(I47:I53)</f>
        <v>7473001.46</v>
      </c>
      <c r="J57" s="98">
        <f>I57/$I$75</f>
        <v>0.47160737219029092</v>
      </c>
      <c r="K57" s="97">
        <f t="shared" ref="K57:P57" si="10">SUM(K47:K53)</f>
        <v>8301335.7800000003</v>
      </c>
      <c r="L57" s="99">
        <f t="shared" si="10"/>
        <v>8557824</v>
      </c>
      <c r="M57" s="97">
        <f>SUM(M47:M53)</f>
        <v>8382509</v>
      </c>
      <c r="N57" s="100">
        <f>SUM(N48:N55)</f>
        <v>-175315</v>
      </c>
      <c r="O57" s="101">
        <f>+N57/L57</f>
        <v>-2.0485931937838403E-2</v>
      </c>
      <c r="P57" s="102">
        <f t="shared" si="10"/>
        <v>8382509</v>
      </c>
      <c r="Q57" s="97">
        <v>8155859.7120000003</v>
      </c>
      <c r="R57" s="99">
        <f>SUM(R47:R53)</f>
        <v>7796516</v>
      </c>
      <c r="S57" s="97">
        <f>SUM(S47:S53)</f>
        <v>7534707.5700000003</v>
      </c>
      <c r="T57" s="97">
        <f>SUM(T47:T53)</f>
        <v>5894950.5700000003</v>
      </c>
      <c r="U57" s="97">
        <f>SUM(U47:U53)</f>
        <v>4597824.3499999996</v>
      </c>
      <c r="V57" s="100">
        <f>SUM(V48:V55)</f>
        <v>-3198691.65</v>
      </c>
      <c r="W57" s="260">
        <f>+V57/R57</f>
        <v>-0.41027192787137229</v>
      </c>
      <c r="X57" s="97">
        <f t="shared" ref="X57:AD57" si="11">SUM(X47:X53)</f>
        <v>6321148.4299999997</v>
      </c>
      <c r="Y57" s="337">
        <f t="shared" si="11"/>
        <v>6772893.0750000002</v>
      </c>
      <c r="Z57" s="99">
        <f t="shared" si="11"/>
        <v>6805189.6799999997</v>
      </c>
      <c r="AA57" s="97">
        <f t="shared" si="11"/>
        <v>6846774.0000000028</v>
      </c>
      <c r="AB57" s="97">
        <f t="shared" si="11"/>
        <v>6858574.5774847493</v>
      </c>
      <c r="AC57" s="97">
        <f t="shared" si="11"/>
        <v>7787312.0129611921</v>
      </c>
      <c r="AD57" s="244">
        <f t="shared" si="11"/>
        <v>6591879.3399135107</v>
      </c>
      <c r="AF57" s="79"/>
      <c r="AH57" s="79"/>
    </row>
    <row r="58" spans="1:35" ht="12" customHeight="1" x14ac:dyDescent="0.3">
      <c r="H58" s="2"/>
      <c r="J58" s="39"/>
      <c r="L58" s="29"/>
      <c r="N58" s="30"/>
      <c r="O58" s="31"/>
      <c r="P58" s="64"/>
      <c r="Q58"/>
      <c r="R58" s="71"/>
      <c r="S58"/>
      <c r="V58" s="30"/>
      <c r="W58" s="30"/>
      <c r="Y58" s="332"/>
      <c r="Z58" s="332"/>
      <c r="AD58" s="239"/>
    </row>
    <row r="59" spans="1:35" ht="12" customHeight="1" x14ac:dyDescent="0.25">
      <c r="H59" s="2"/>
      <c r="J59" s="39"/>
      <c r="L59" s="29"/>
      <c r="N59" s="30"/>
      <c r="O59" s="31"/>
      <c r="P59" s="64"/>
      <c r="R59" s="29"/>
      <c r="V59" s="30"/>
      <c r="W59" s="30"/>
      <c r="Y59" s="332"/>
      <c r="Z59" s="332"/>
      <c r="AD59" s="239"/>
      <c r="AF59" s="54"/>
    </row>
    <row r="60" spans="1:35" ht="14.7" hidden="1" customHeight="1" x14ac:dyDescent="0.3">
      <c r="A60" s="3" t="s">
        <v>42</v>
      </c>
      <c r="H60" s="2"/>
      <c r="I60" s="120"/>
      <c r="J60" s="105"/>
      <c r="K60" s="120"/>
      <c r="L60" s="29"/>
      <c r="M60" s="120"/>
      <c r="N60" s="30"/>
      <c r="O60" s="31"/>
      <c r="P60" s="64"/>
      <c r="Q60"/>
      <c r="R60" s="71"/>
      <c r="S60"/>
      <c r="V60" s="30"/>
      <c r="W60" s="30"/>
      <c r="Y60" s="341"/>
      <c r="Z60" s="332"/>
      <c r="AD60" s="239"/>
    </row>
    <row r="61" spans="1:35" ht="13.35" hidden="1" customHeight="1" x14ac:dyDescent="0.25">
      <c r="A61" s="121"/>
      <c r="B61" s="121"/>
      <c r="C61" s="122"/>
      <c r="D61" s="123"/>
      <c r="E61" s="122"/>
      <c r="F61" s="122"/>
      <c r="G61" s="122"/>
      <c r="H61" s="118"/>
      <c r="I61" s="124"/>
      <c r="J61" s="125"/>
      <c r="K61" s="124"/>
      <c r="L61" s="126"/>
      <c r="M61" s="124"/>
      <c r="N61" s="127"/>
      <c r="O61" s="128"/>
      <c r="P61" s="129"/>
      <c r="Q61" s="122"/>
      <c r="R61" s="126"/>
      <c r="S61" s="122"/>
      <c r="T61" s="122"/>
      <c r="U61" s="122"/>
      <c r="V61" s="127"/>
      <c r="W61" s="127"/>
      <c r="X61" s="122"/>
      <c r="Y61" s="342"/>
      <c r="Z61" s="362"/>
      <c r="AA61" s="122"/>
      <c r="AB61" s="122"/>
      <c r="AC61" s="122"/>
      <c r="AD61" s="247"/>
    </row>
    <row r="62" spans="1:35" ht="13.35" hidden="1" customHeight="1" x14ac:dyDescent="0.25">
      <c r="A62" s="3" t="s">
        <v>43</v>
      </c>
      <c r="C62" s="123"/>
      <c r="D62" s="123"/>
      <c r="E62" s="123"/>
      <c r="F62" s="123"/>
      <c r="G62" s="123"/>
      <c r="H62" s="130"/>
      <c r="I62" s="131"/>
      <c r="J62" s="105"/>
      <c r="K62" s="131"/>
      <c r="L62" s="132"/>
      <c r="M62" s="131"/>
      <c r="N62" s="133"/>
      <c r="O62" s="134"/>
      <c r="P62" s="135"/>
      <c r="Q62" s="123"/>
      <c r="R62" s="132"/>
      <c r="S62" s="123"/>
      <c r="T62" s="123"/>
      <c r="U62" s="123"/>
      <c r="V62" s="133"/>
      <c r="W62" s="133"/>
      <c r="X62" s="123"/>
      <c r="Y62" s="344"/>
      <c r="Z62" s="363"/>
      <c r="AA62" s="123"/>
      <c r="AB62" s="123"/>
      <c r="AC62" s="123"/>
      <c r="AD62" s="248"/>
    </row>
    <row r="63" spans="1:35" ht="13.35" hidden="1" customHeight="1" x14ac:dyDescent="0.25">
      <c r="A63" s="3" t="s">
        <v>44</v>
      </c>
      <c r="C63" s="123">
        <v>0</v>
      </c>
      <c r="D63" s="123">
        <v>34092</v>
      </c>
      <c r="E63" s="123">
        <v>0</v>
      </c>
      <c r="F63" s="123">
        <v>0</v>
      </c>
      <c r="G63" s="123"/>
      <c r="H63" s="130"/>
      <c r="I63" s="131"/>
      <c r="J63" s="105"/>
      <c r="K63" s="131"/>
      <c r="L63" s="132"/>
      <c r="M63" s="131"/>
      <c r="N63" s="133"/>
      <c r="O63" s="134"/>
      <c r="P63" s="135"/>
      <c r="Q63" s="123"/>
      <c r="R63" s="132"/>
      <c r="S63" s="123"/>
      <c r="T63" s="123"/>
      <c r="U63" s="123"/>
      <c r="V63" s="133"/>
      <c r="W63" s="133"/>
      <c r="X63" s="123"/>
      <c r="Y63" s="344"/>
      <c r="Z63" s="363"/>
      <c r="AA63" s="123"/>
      <c r="AB63" s="123"/>
      <c r="AC63" s="123"/>
      <c r="AD63" s="248"/>
    </row>
    <row r="64" spans="1:35" ht="13.35" hidden="1" customHeight="1" x14ac:dyDescent="0.25">
      <c r="A64" s="3" t="s">
        <v>45</v>
      </c>
      <c r="C64" s="123">
        <v>0</v>
      </c>
      <c r="D64" s="123">
        <v>0</v>
      </c>
      <c r="E64" s="123">
        <v>0</v>
      </c>
      <c r="F64" s="123">
        <v>0</v>
      </c>
      <c r="G64" s="123">
        <v>139758</v>
      </c>
      <c r="H64" s="130"/>
      <c r="I64" s="131">
        <v>943772</v>
      </c>
      <c r="J64" s="105"/>
      <c r="K64" s="131"/>
      <c r="L64" s="132">
        <v>1325525</v>
      </c>
      <c r="M64" s="131"/>
      <c r="N64" s="133"/>
      <c r="O64" s="134"/>
      <c r="P64" s="135">
        <v>1325525</v>
      </c>
      <c r="Q64" s="123">
        <v>1160414</v>
      </c>
      <c r="R64" s="132"/>
      <c r="S64" s="123"/>
      <c r="T64" s="123">
        <v>1160414</v>
      </c>
      <c r="U64" s="123">
        <v>1160414</v>
      </c>
      <c r="V64" s="133"/>
      <c r="W64" s="133"/>
      <c r="X64" s="123">
        <v>1160414</v>
      </c>
      <c r="Y64" s="344">
        <v>1160414</v>
      </c>
      <c r="Z64" s="363">
        <v>1160414</v>
      </c>
      <c r="AA64" s="123">
        <v>1160414</v>
      </c>
      <c r="AB64" s="123">
        <v>1160414</v>
      </c>
      <c r="AC64" s="123">
        <v>1160414</v>
      </c>
      <c r="AD64" s="248">
        <v>1160414</v>
      </c>
    </row>
    <row r="65" spans="1:35" ht="14.7" hidden="1" customHeight="1" x14ac:dyDescent="0.3">
      <c r="A65" s="3" t="s">
        <v>46</v>
      </c>
      <c r="C65" s="123"/>
      <c r="D65" s="123"/>
      <c r="E65" s="123"/>
      <c r="F65" s="123"/>
      <c r="G65" s="123">
        <v>0</v>
      </c>
      <c r="H65" s="2"/>
      <c r="I65" s="120"/>
      <c r="J65" s="105"/>
      <c r="K65" s="120"/>
      <c r="L65" s="29"/>
      <c r="M65" s="120"/>
      <c r="N65" s="30"/>
      <c r="O65" s="31"/>
      <c r="P65" s="64"/>
      <c r="Q65"/>
      <c r="R65" s="71"/>
      <c r="S65"/>
      <c r="V65" s="30"/>
      <c r="W65" s="30"/>
      <c r="Y65" s="341"/>
      <c r="Z65" s="332"/>
      <c r="AD65" s="239"/>
    </row>
    <row r="66" spans="1:35" ht="13.35" hidden="1" customHeight="1" x14ac:dyDescent="0.25">
      <c r="A66" s="3" t="s">
        <v>47</v>
      </c>
      <c r="C66" s="123">
        <v>0</v>
      </c>
      <c r="D66" s="123">
        <v>0</v>
      </c>
      <c r="E66" s="123">
        <v>0</v>
      </c>
      <c r="F66" s="123">
        <v>0</v>
      </c>
      <c r="G66" s="123">
        <v>350000</v>
      </c>
      <c r="H66" s="130"/>
      <c r="I66" s="131"/>
      <c r="J66" s="105"/>
      <c r="K66" s="131"/>
      <c r="L66" s="132"/>
      <c r="M66" s="131"/>
      <c r="N66" s="133"/>
      <c r="O66" s="134"/>
      <c r="P66" s="135"/>
      <c r="Q66" s="123"/>
      <c r="R66" s="132"/>
      <c r="S66" s="123"/>
      <c r="T66" s="123"/>
      <c r="U66" s="123"/>
      <c r="V66" s="133"/>
      <c r="W66" s="133"/>
      <c r="X66" s="123"/>
      <c r="Y66" s="344"/>
      <c r="Z66" s="363"/>
      <c r="AA66" s="123"/>
      <c r="AB66" s="123"/>
      <c r="AC66" s="123"/>
      <c r="AD66" s="248"/>
    </row>
    <row r="67" spans="1:35" ht="14.7" hidden="1" customHeight="1" x14ac:dyDescent="0.3">
      <c r="D67" s="123"/>
      <c r="E67" s="123"/>
      <c r="F67" s="123"/>
      <c r="H67" s="2"/>
      <c r="I67" s="120"/>
      <c r="J67" s="105"/>
      <c r="K67" s="120"/>
      <c r="L67" s="29"/>
      <c r="M67" s="120"/>
      <c r="N67" s="30"/>
      <c r="O67" s="31"/>
      <c r="P67" s="64"/>
      <c r="Q67"/>
      <c r="R67" s="71"/>
      <c r="S67"/>
      <c r="V67" s="30"/>
      <c r="W67" s="30"/>
      <c r="Y67" s="341"/>
      <c r="Z67" s="332"/>
      <c r="AD67" s="239"/>
    </row>
    <row r="68" spans="1:35" ht="13.35" hidden="1" customHeight="1" x14ac:dyDescent="0.25">
      <c r="A68" s="2" t="s">
        <v>48</v>
      </c>
      <c r="C68" s="136">
        <v>0</v>
      </c>
      <c r="D68" s="136">
        <f>SUM(D63:D67)</f>
        <v>34092</v>
      </c>
      <c r="E68" s="136">
        <f>SUM(E63:E67)</f>
        <v>0</v>
      </c>
      <c r="F68" s="136">
        <f>SUM(F63:F67)</f>
        <v>0</v>
      </c>
      <c r="G68" s="136">
        <f>SUM(G63:G67)</f>
        <v>489758</v>
      </c>
      <c r="H68" s="136"/>
      <c r="I68" s="137">
        <f>SUM(I63:I67)</f>
        <v>943772</v>
      </c>
      <c r="J68" s="138"/>
      <c r="K68" s="137"/>
      <c r="L68" s="139">
        <f>SUM(L63:L67)</f>
        <v>1325525</v>
      </c>
      <c r="M68" s="137"/>
      <c r="N68" s="140"/>
      <c r="O68" s="141"/>
      <c r="P68" s="142">
        <f>SUM(P63:P67)</f>
        <v>1325525</v>
      </c>
      <c r="Q68" s="136">
        <v>1160414</v>
      </c>
      <c r="R68" s="139"/>
      <c r="S68" s="136"/>
      <c r="T68" s="136">
        <f>SUM(T63:T67)</f>
        <v>1160414</v>
      </c>
      <c r="U68" s="136">
        <f>SUM(U63:U67)</f>
        <v>1160414</v>
      </c>
      <c r="V68" s="140"/>
      <c r="W68" s="140"/>
      <c r="X68" s="136">
        <f t="shared" ref="X68:AD68" si="12">SUM(X63:X67)</f>
        <v>1160414</v>
      </c>
      <c r="Y68" s="346">
        <f t="shared" si="12"/>
        <v>1160414</v>
      </c>
      <c r="Z68" s="364">
        <f t="shared" si="12"/>
        <v>1160414</v>
      </c>
      <c r="AA68" s="136">
        <f t="shared" si="12"/>
        <v>1160414</v>
      </c>
      <c r="AB68" s="136">
        <f t="shared" si="12"/>
        <v>1160414</v>
      </c>
      <c r="AC68" s="136">
        <f t="shared" si="12"/>
        <v>1160414</v>
      </c>
      <c r="AD68" s="249">
        <f t="shared" si="12"/>
        <v>1160414</v>
      </c>
    </row>
    <row r="69" spans="1:35" ht="14.7" hidden="1" customHeight="1" x14ac:dyDescent="0.3">
      <c r="H69" s="2"/>
      <c r="I69" s="120"/>
      <c r="J69" s="105"/>
      <c r="K69" s="120"/>
      <c r="L69" s="29"/>
      <c r="M69" s="120"/>
      <c r="N69" s="30"/>
      <c r="O69" s="31"/>
      <c r="P69" s="64"/>
      <c r="Q69"/>
      <c r="R69" s="71"/>
      <c r="S69"/>
      <c r="V69" s="30"/>
      <c r="W69" s="30"/>
      <c r="Y69" s="341"/>
      <c r="Z69" s="332"/>
      <c r="AD69" s="239"/>
    </row>
    <row r="70" spans="1:35" ht="13.35" hidden="1" customHeight="1" x14ac:dyDescent="0.25">
      <c r="A70" s="3" t="s">
        <v>49</v>
      </c>
      <c r="C70" s="143">
        <v>0</v>
      </c>
      <c r="D70" s="143">
        <v>0</v>
      </c>
      <c r="E70" s="143">
        <v>0</v>
      </c>
      <c r="F70" s="143">
        <v>0</v>
      </c>
      <c r="G70" s="143">
        <v>0</v>
      </c>
      <c r="H70" s="144"/>
      <c r="I70" s="145">
        <v>0</v>
      </c>
      <c r="J70" s="105"/>
      <c r="K70" s="145"/>
      <c r="L70" s="146">
        <v>0</v>
      </c>
      <c r="M70" s="145"/>
      <c r="N70" s="147"/>
      <c r="O70" s="148"/>
      <c r="P70" s="149">
        <v>0</v>
      </c>
      <c r="Q70" s="143">
        <v>0</v>
      </c>
      <c r="R70" s="146"/>
      <c r="S70" s="143"/>
      <c r="T70" s="143">
        <v>0</v>
      </c>
      <c r="U70" s="143">
        <v>0</v>
      </c>
      <c r="V70" s="147"/>
      <c r="W70" s="147"/>
      <c r="X70" s="143">
        <v>0</v>
      </c>
      <c r="Y70" s="348">
        <v>0</v>
      </c>
      <c r="Z70" s="365">
        <v>0</v>
      </c>
      <c r="AA70" s="143">
        <v>0</v>
      </c>
      <c r="AB70" s="143">
        <v>0</v>
      </c>
      <c r="AC70" s="143">
        <v>0</v>
      </c>
      <c r="AD70" s="250">
        <v>0</v>
      </c>
    </row>
    <row r="71" spans="1:35" ht="13.35" hidden="1" customHeight="1" x14ac:dyDescent="0.25">
      <c r="C71" s="143"/>
      <c r="D71" s="143"/>
      <c r="E71" s="143"/>
      <c r="F71" s="143"/>
      <c r="G71" s="143"/>
      <c r="H71" s="144"/>
      <c r="I71" s="145"/>
      <c r="J71" s="105"/>
      <c r="K71" s="145"/>
      <c r="L71" s="146"/>
      <c r="M71" s="145"/>
      <c r="N71" s="147"/>
      <c r="O71" s="148"/>
      <c r="P71" s="149"/>
      <c r="Q71" s="143"/>
      <c r="R71" s="146"/>
      <c r="S71" s="143"/>
      <c r="T71" s="143"/>
      <c r="U71" s="143"/>
      <c r="V71" s="147"/>
      <c r="W71" s="147"/>
      <c r="X71" s="143"/>
      <c r="Y71" s="348"/>
      <c r="Z71" s="365"/>
      <c r="AA71" s="143"/>
      <c r="AB71" s="143"/>
      <c r="AC71" s="143"/>
      <c r="AD71" s="250"/>
    </row>
    <row r="72" spans="1:35" ht="13.35" hidden="1" customHeight="1" x14ac:dyDescent="0.25">
      <c r="A72" s="2" t="s">
        <v>50</v>
      </c>
      <c r="C72" s="136">
        <v>8893786.0899999999</v>
      </c>
      <c r="D72" s="136">
        <f>+D68+D57</f>
        <v>7665853</v>
      </c>
      <c r="E72" s="136">
        <f>+E68+E57</f>
        <v>7570160.5</v>
      </c>
      <c r="F72" s="136">
        <f>+F68+F57</f>
        <v>7657763</v>
      </c>
      <c r="G72" s="136">
        <f>+G68+G57</f>
        <v>8336239</v>
      </c>
      <c r="H72" s="136"/>
      <c r="I72" s="137">
        <f>+I68+I57</f>
        <v>8416773.4600000009</v>
      </c>
      <c r="J72" s="138"/>
      <c r="K72" s="137"/>
      <c r="L72" s="139">
        <f>+L68+L57</f>
        <v>9883349</v>
      </c>
      <c r="M72" s="137"/>
      <c r="N72" s="140"/>
      <c r="O72" s="141"/>
      <c r="P72" s="142">
        <f>+P68+P57</f>
        <v>9708034</v>
      </c>
      <c r="Q72" s="136">
        <v>9316273.7120000012</v>
      </c>
      <c r="R72" s="139"/>
      <c r="S72" s="136"/>
      <c r="T72" s="136">
        <f>+T68+T57</f>
        <v>7055364.5700000003</v>
      </c>
      <c r="U72" s="136">
        <f>+U68+U57</f>
        <v>5758238.3499999996</v>
      </c>
      <c r="V72" s="140"/>
      <c r="W72" s="140"/>
      <c r="X72" s="136">
        <f t="shared" ref="X72:AD72" si="13">+X68+X57</f>
        <v>7481562.4299999997</v>
      </c>
      <c r="Y72" s="346">
        <f t="shared" si="13"/>
        <v>7933307.0750000002</v>
      </c>
      <c r="Z72" s="364">
        <f t="shared" si="13"/>
        <v>7965603.6799999997</v>
      </c>
      <c r="AA72" s="136">
        <f t="shared" si="13"/>
        <v>8007188.0000000028</v>
      </c>
      <c r="AB72" s="136">
        <f t="shared" si="13"/>
        <v>8018988.5774847493</v>
      </c>
      <c r="AC72" s="136">
        <f t="shared" si="13"/>
        <v>8947726.0129611921</v>
      </c>
      <c r="AD72" s="249">
        <f t="shared" si="13"/>
        <v>7752293.3399135107</v>
      </c>
    </row>
    <row r="73" spans="1:35" ht="13.35" hidden="1" customHeight="1" x14ac:dyDescent="0.25">
      <c r="C73" s="150">
        <v>-5.3650085140555137E-2</v>
      </c>
      <c r="D73" s="150"/>
      <c r="E73" s="150"/>
      <c r="F73" s="150"/>
      <c r="G73" s="150"/>
      <c r="H73" s="151"/>
      <c r="I73" s="152"/>
      <c r="J73" s="105"/>
      <c r="K73" s="152"/>
      <c r="L73" s="153"/>
      <c r="M73" s="152"/>
      <c r="N73" s="154"/>
      <c r="O73" s="155"/>
      <c r="P73" s="156"/>
      <c r="Q73" s="150"/>
      <c r="R73" s="153"/>
      <c r="S73" s="150"/>
      <c r="T73" s="150"/>
      <c r="U73" s="150"/>
      <c r="V73" s="154"/>
      <c r="W73" s="154"/>
      <c r="X73" s="150"/>
      <c r="Y73" s="350"/>
      <c r="Z73" s="366"/>
      <c r="AA73" s="150"/>
      <c r="AB73" s="150"/>
      <c r="AC73" s="150"/>
      <c r="AD73" s="251"/>
    </row>
    <row r="74" spans="1:35" ht="14.7" hidden="1" customHeight="1" x14ac:dyDescent="0.3">
      <c r="H74" s="2"/>
      <c r="I74" s="120"/>
      <c r="J74" s="105"/>
      <c r="K74" s="120"/>
      <c r="L74" s="29"/>
      <c r="M74" s="120"/>
      <c r="N74" s="30"/>
      <c r="O74" s="31"/>
      <c r="P74" s="64"/>
      <c r="Q74"/>
      <c r="R74" s="71"/>
      <c r="S74"/>
      <c r="V74" s="30"/>
      <c r="W74" s="30"/>
      <c r="Y74" s="341"/>
      <c r="Z74" s="332"/>
      <c r="AD74" s="239"/>
    </row>
    <row r="75" spans="1:35" ht="12" customHeight="1" thickBot="1" x14ac:dyDescent="0.35">
      <c r="B75" s="2" t="s">
        <v>51</v>
      </c>
      <c r="C75" s="157">
        <f t="shared" ref="C75:AD75" si="14">+C36+C57</f>
        <v>15658032.17</v>
      </c>
      <c r="D75" s="157">
        <f t="shared" si="14"/>
        <v>16613271</v>
      </c>
      <c r="E75" s="157">
        <f t="shared" si="14"/>
        <v>16730118.879090909</v>
      </c>
      <c r="F75" s="157">
        <f t="shared" si="14"/>
        <v>16509910.90909091</v>
      </c>
      <c r="G75" s="157">
        <f t="shared" si="14"/>
        <v>15889751.90909091</v>
      </c>
      <c r="H75" s="157">
        <f>H36+H57</f>
        <v>17753140.777090911</v>
      </c>
      <c r="I75" s="157">
        <f t="shared" si="14"/>
        <v>15845811.369090909</v>
      </c>
      <c r="J75" s="158">
        <f>I75/$I$75</f>
        <v>1</v>
      </c>
      <c r="K75" s="157">
        <f t="shared" ref="K75:P75" si="15">+K36+K57</f>
        <v>16184382.780000001</v>
      </c>
      <c r="L75" s="159">
        <f t="shared" si="15"/>
        <v>17224463</v>
      </c>
      <c r="M75" s="157">
        <f>+M36+M57</f>
        <v>16775754</v>
      </c>
      <c r="N75" s="160">
        <f>+N36+N57</f>
        <v>-448709</v>
      </c>
      <c r="O75" s="161">
        <f>+N75/L75</f>
        <v>-2.6050681521972558E-2</v>
      </c>
      <c r="P75" s="162">
        <f t="shared" si="15"/>
        <v>16775754</v>
      </c>
      <c r="Q75" s="157">
        <v>17473301.212000001</v>
      </c>
      <c r="R75" s="159">
        <f t="shared" si="14"/>
        <v>15835650</v>
      </c>
      <c r="S75" s="157">
        <f t="shared" si="14"/>
        <v>14462772.91</v>
      </c>
      <c r="T75" s="157">
        <f t="shared" si="14"/>
        <v>10072983.9</v>
      </c>
      <c r="U75" s="157">
        <f t="shared" si="14"/>
        <v>21549904.839999996</v>
      </c>
      <c r="V75" s="160">
        <f>+V36+V57</f>
        <v>-2047020.1600000006</v>
      </c>
      <c r="W75" s="261">
        <f>+V75/R75</f>
        <v>-0.12926657004922443</v>
      </c>
      <c r="X75" s="157">
        <f>+X36+X57</f>
        <v>22052757.700000003</v>
      </c>
      <c r="Y75" s="352">
        <f t="shared" si="14"/>
        <v>17613775.824999999</v>
      </c>
      <c r="Z75" s="159">
        <f t="shared" si="14"/>
        <v>17988071.385839522</v>
      </c>
      <c r="AA75" s="157">
        <f t="shared" si="14"/>
        <v>18563700.365632392</v>
      </c>
      <c r="AB75" s="157">
        <f t="shared" si="14"/>
        <v>20468480.309642747</v>
      </c>
      <c r="AC75" s="157">
        <f>+AC36+AC57</f>
        <v>22408958.124492303</v>
      </c>
      <c r="AD75" s="252">
        <f t="shared" si="14"/>
        <v>21278107.341096085</v>
      </c>
      <c r="AE75" s="167"/>
      <c r="AF75" s="273" t="s">
        <v>2</v>
      </c>
      <c r="AG75"/>
    </row>
    <row r="76" spans="1:35" ht="12" customHeight="1" thickTop="1" x14ac:dyDescent="0.3">
      <c r="C76" s="163"/>
      <c r="D76" s="163"/>
      <c r="E76" s="163"/>
      <c r="F76" s="163"/>
      <c r="G76" s="143"/>
      <c r="H76" s="143"/>
      <c r="I76" s="143"/>
      <c r="J76" s="143"/>
      <c r="K76" s="143"/>
      <c r="L76" s="146"/>
      <c r="M76" s="143"/>
      <c r="N76" s="147"/>
      <c r="O76" s="148"/>
      <c r="P76" s="149"/>
      <c r="Q76" s="143"/>
      <c r="R76" s="146"/>
      <c r="S76" s="143"/>
      <c r="T76" s="143"/>
      <c r="U76" s="143"/>
      <c r="V76" s="147"/>
      <c r="W76" s="147"/>
      <c r="X76" s="143"/>
      <c r="Y76" s="332"/>
      <c r="Z76" s="332"/>
      <c r="AD76" s="239"/>
      <c r="AF76"/>
      <c r="AG76"/>
    </row>
    <row r="77" spans="1:35" ht="12" customHeight="1" x14ac:dyDescent="0.3">
      <c r="B77" s="2" t="s">
        <v>52</v>
      </c>
      <c r="I77" s="169"/>
      <c r="J77" s="169"/>
      <c r="K77" s="170"/>
      <c r="L77" s="171">
        <v>150000</v>
      </c>
      <c r="M77" s="170">
        <v>150000</v>
      </c>
      <c r="N77" s="94">
        <f>+L77-M77</f>
        <v>0</v>
      </c>
      <c r="O77" s="45">
        <f>+N77/L77</f>
        <v>0</v>
      </c>
      <c r="P77" s="172">
        <v>150000</v>
      </c>
      <c r="Q77" s="170"/>
      <c r="R77" s="171"/>
      <c r="S77" s="170"/>
      <c r="T77" s="173"/>
      <c r="U77" s="173"/>
      <c r="V77" s="94"/>
      <c r="W77" s="110"/>
      <c r="X77" s="173"/>
      <c r="Y77" s="353"/>
      <c r="Z77" s="353"/>
      <c r="AA77" s="173"/>
      <c r="AB77" s="173"/>
      <c r="AC77" s="173"/>
      <c r="AD77" s="253"/>
      <c r="AF77"/>
      <c r="AG77"/>
    </row>
    <row r="78" spans="1:35" ht="12" customHeight="1" x14ac:dyDescent="0.3">
      <c r="B78" s="168"/>
      <c r="J78" s="169"/>
      <c r="K78" s="170"/>
      <c r="L78" s="171"/>
      <c r="M78" s="170"/>
      <c r="N78" s="94"/>
      <c r="O78" s="45"/>
      <c r="P78" s="172"/>
      <c r="Q78" s="170"/>
      <c r="R78" s="171"/>
      <c r="S78" s="170"/>
      <c r="T78" s="173"/>
      <c r="U78" s="173"/>
      <c r="V78" s="94"/>
      <c r="W78" s="110"/>
      <c r="X78" s="173"/>
      <c r="Y78" s="353"/>
      <c r="Z78" s="353"/>
      <c r="AA78" s="173"/>
      <c r="AB78" s="173"/>
      <c r="AC78" s="173"/>
      <c r="AD78" s="253"/>
      <c r="AF78"/>
      <c r="AG78"/>
    </row>
    <row r="79" spans="1:35" ht="12" customHeight="1" x14ac:dyDescent="0.3">
      <c r="B79" s="168" t="s">
        <v>67</v>
      </c>
      <c r="I79" s="169"/>
      <c r="J79" s="169"/>
      <c r="K79" s="170"/>
      <c r="L79" s="171"/>
      <c r="M79" s="170"/>
      <c r="N79" s="94"/>
      <c r="O79" s="45"/>
      <c r="P79" s="172"/>
      <c r="Q79" s="170"/>
      <c r="R79" s="171"/>
      <c r="S79" s="170"/>
      <c r="T79" s="173"/>
      <c r="U79" s="173"/>
      <c r="V79" s="94"/>
      <c r="W79" s="110"/>
      <c r="X79" s="173"/>
      <c r="Y79" s="336"/>
      <c r="Z79" s="71"/>
      <c r="AA79" s="87" t="s">
        <v>2</v>
      </c>
      <c r="AB79" s="87">
        <v>888578.24313585937</v>
      </c>
      <c r="AC79" s="87">
        <v>954244.80406523007</v>
      </c>
      <c r="AD79" s="242">
        <v>1025481.6626342684</v>
      </c>
      <c r="AF79" s="273"/>
      <c r="AG79" s="273"/>
      <c r="AH79" s="85"/>
      <c r="AI79" s="85"/>
    </row>
    <row r="80" spans="1:35" ht="12" customHeight="1" x14ac:dyDescent="0.3">
      <c r="B80" s="168"/>
      <c r="Y80" s="332"/>
      <c r="Z80" s="353" t="s">
        <v>2</v>
      </c>
      <c r="AA80" s="173" t="s">
        <v>2</v>
      </c>
      <c r="AB80" s="173" t="s">
        <v>2</v>
      </c>
      <c r="AC80" s="173" t="s">
        <v>2</v>
      </c>
      <c r="AD80" s="253" t="s">
        <v>2</v>
      </c>
      <c r="AF80"/>
      <c r="AG80"/>
    </row>
    <row r="81" spans="2:35" ht="12" customHeight="1" x14ac:dyDescent="0.3">
      <c r="B81" s="168" t="s">
        <v>129</v>
      </c>
      <c r="I81" s="169"/>
      <c r="J81" s="169"/>
      <c r="K81" s="170"/>
      <c r="L81" s="171"/>
      <c r="M81" s="170"/>
      <c r="N81" s="94"/>
      <c r="O81" s="45"/>
      <c r="P81" s="172"/>
      <c r="Q81" s="170"/>
      <c r="R81" s="171"/>
      <c r="S81" s="170"/>
      <c r="T81" s="173"/>
      <c r="U81" s="173"/>
      <c r="V81" s="94"/>
      <c r="W81" s="110"/>
      <c r="X81" s="173"/>
      <c r="Y81" s="353">
        <v>1880720</v>
      </c>
      <c r="Z81" s="469">
        <v>2015720</v>
      </c>
      <c r="AA81" s="173">
        <f>+Z81</f>
        <v>2015720</v>
      </c>
      <c r="AB81" s="173">
        <f>+Z81</f>
        <v>2015720</v>
      </c>
      <c r="AC81" s="173">
        <f>+Z81</f>
        <v>2015720</v>
      </c>
      <c r="AD81" s="253">
        <f>+AA81</f>
        <v>2015720</v>
      </c>
      <c r="AF81"/>
      <c r="AG81"/>
    </row>
    <row r="82" spans="2:35" ht="12" customHeight="1" x14ac:dyDescent="0.3">
      <c r="B82" s="168"/>
      <c r="I82" s="169"/>
      <c r="J82" s="169"/>
      <c r="K82" s="169"/>
      <c r="L82" s="29"/>
      <c r="M82" s="169"/>
      <c r="N82" s="30"/>
      <c r="O82" s="45"/>
      <c r="P82" s="64"/>
      <c r="R82" s="29"/>
      <c r="V82" s="30"/>
      <c r="W82" s="110"/>
      <c r="Y82" s="332"/>
      <c r="Z82" s="332"/>
      <c r="AD82" s="239"/>
      <c r="AF82"/>
      <c r="AG82"/>
    </row>
    <row r="83" spans="2:35" ht="12" customHeight="1" x14ac:dyDescent="0.3">
      <c r="B83" s="168" t="s">
        <v>69</v>
      </c>
      <c r="C83" s="174">
        <v>2029080.0199999986</v>
      </c>
      <c r="D83" s="174">
        <v>1793937.2150000003</v>
      </c>
      <c r="E83" s="174">
        <v>1737821.879999999</v>
      </c>
      <c r="F83" s="174">
        <v>1869308</v>
      </c>
      <c r="G83" s="87">
        <v>1955710</v>
      </c>
      <c r="H83" s="85">
        <v>2136068</v>
      </c>
      <c r="I83" s="87">
        <v>1969129</v>
      </c>
      <c r="J83" s="87"/>
      <c r="K83" s="87">
        <v>2763019</v>
      </c>
      <c r="L83" s="88">
        <v>2034793</v>
      </c>
      <c r="M83" s="87">
        <v>1767797</v>
      </c>
      <c r="N83" s="94">
        <f t="shared" ref="N83:N90" si="16">+L83-M83</f>
        <v>266996</v>
      </c>
      <c r="O83" s="45">
        <f t="shared" ref="O83:O92" si="17">+N83/L83</f>
        <v>0.13121531281068885</v>
      </c>
      <c r="P83" s="89">
        <f>2034793-145000-40000-81996</f>
        <v>1767797</v>
      </c>
      <c r="Q83" s="175">
        <v>2049989</v>
      </c>
      <c r="R83" s="88">
        <v>1952088</v>
      </c>
      <c r="S83" s="87">
        <f>3303219-S85</f>
        <v>2597651</v>
      </c>
      <c r="T83" s="87">
        <f>3010420-T85</f>
        <v>2338088</v>
      </c>
      <c r="U83" s="87">
        <f>2339276.37-U85</f>
        <v>1810038.12</v>
      </c>
      <c r="V83" s="94">
        <f t="shared" ref="V83:V90" si="18">+R83-U83</f>
        <v>142049.87999999989</v>
      </c>
      <c r="W83" s="110">
        <f t="shared" ref="W83:W90" si="19">+V83/R83</f>
        <v>7.2768174385580919E-2</v>
      </c>
      <c r="X83" s="87">
        <f>1435242.8-X85</f>
        <v>860143.6100000001</v>
      </c>
      <c r="Y83" s="353">
        <v>2119091</v>
      </c>
      <c r="Z83" s="469">
        <v>1616814.97055939</v>
      </c>
      <c r="AA83" s="173">
        <f>2447602.66386093-AA85</f>
        <v>1668456.4108252155</v>
      </c>
      <c r="AB83" s="176">
        <f>+AA83</f>
        <v>1668456.4108252155</v>
      </c>
      <c r="AC83" s="176">
        <f>AA83</f>
        <v>1668456.4108252155</v>
      </c>
      <c r="AD83" s="254">
        <f>+AA83</f>
        <v>1668456.4108252155</v>
      </c>
      <c r="AF83"/>
      <c r="AG83"/>
    </row>
    <row r="84" spans="2:35" ht="12" customHeight="1" x14ac:dyDescent="0.3">
      <c r="B84" s="168" t="s">
        <v>53</v>
      </c>
      <c r="C84" s="174">
        <v>2762524.09</v>
      </c>
      <c r="D84" s="174">
        <v>2788770.4849999999</v>
      </c>
      <c r="E84" s="174">
        <v>2860135.3</v>
      </c>
      <c r="F84" s="174">
        <v>2699288</v>
      </c>
      <c r="G84" s="87">
        <v>2965045</v>
      </c>
      <c r="H84" s="85">
        <v>2308038</v>
      </c>
      <c r="I84" s="87">
        <v>2202629</v>
      </c>
      <c r="J84" s="104"/>
      <c r="K84" s="87"/>
      <c r="L84" s="88">
        <v>2296659</v>
      </c>
      <c r="M84" s="87">
        <v>2168701</v>
      </c>
      <c r="N84" s="94">
        <f t="shared" si="16"/>
        <v>127958</v>
      </c>
      <c r="O84" s="45">
        <f t="shared" si="17"/>
        <v>5.5714844911673868E-2</v>
      </c>
      <c r="P84" s="89">
        <f>2296659-67000-60958</f>
        <v>2168701</v>
      </c>
      <c r="Q84" s="175">
        <v>2339314</v>
      </c>
      <c r="R84" s="88">
        <v>1955083</v>
      </c>
      <c r="S84" s="87"/>
      <c r="T84" s="87"/>
      <c r="U84" s="87"/>
      <c r="V84" s="94">
        <f t="shared" si="18"/>
        <v>1955083</v>
      </c>
      <c r="W84" s="110">
        <f t="shared" si="19"/>
        <v>1</v>
      </c>
      <c r="X84" s="87"/>
      <c r="Y84" s="336"/>
      <c r="Z84" s="336"/>
      <c r="AA84" s="173"/>
      <c r="AB84" s="176"/>
      <c r="AC84" s="176">
        <f t="shared" ref="AC84:AC92" si="20">AA84</f>
        <v>0</v>
      </c>
      <c r="AD84" s="254"/>
      <c r="AF84"/>
      <c r="AG84"/>
    </row>
    <row r="85" spans="2:35" ht="12" customHeight="1" x14ac:dyDescent="0.3">
      <c r="B85" s="168" t="s">
        <v>54</v>
      </c>
      <c r="C85" s="174"/>
      <c r="D85" s="174"/>
      <c r="E85" s="174"/>
      <c r="F85" s="174"/>
      <c r="G85" s="87"/>
      <c r="H85" s="85">
        <v>764416</v>
      </c>
      <c r="I85" s="87">
        <v>744816</v>
      </c>
      <c r="J85" s="104"/>
      <c r="K85" s="87">
        <v>746850</v>
      </c>
      <c r="L85" s="88">
        <v>755302</v>
      </c>
      <c r="M85" s="87">
        <v>755302</v>
      </c>
      <c r="N85" s="94">
        <f t="shared" si="16"/>
        <v>0</v>
      </c>
      <c r="O85" s="45">
        <f t="shared" si="17"/>
        <v>0</v>
      </c>
      <c r="P85" s="89">
        <v>755302</v>
      </c>
      <c r="Q85" s="175">
        <v>778487</v>
      </c>
      <c r="R85" s="88">
        <v>754462</v>
      </c>
      <c r="S85" s="87">
        <v>705568</v>
      </c>
      <c r="T85" s="87">
        <v>672332</v>
      </c>
      <c r="U85" s="87">
        <v>529238.25</v>
      </c>
      <c r="V85" s="94">
        <f t="shared" si="18"/>
        <v>225223.75</v>
      </c>
      <c r="W85" s="110">
        <f t="shared" si="19"/>
        <v>0.29852232451733818</v>
      </c>
      <c r="X85" s="87">
        <v>575099.18999999994</v>
      </c>
      <c r="Y85" s="336">
        <v>800896</v>
      </c>
      <c r="Z85" s="88">
        <v>773382.69842025696</v>
      </c>
      <c r="AA85" s="173">
        <v>779146.25303571462</v>
      </c>
      <c r="AB85" s="176">
        <f t="shared" ref="AB85:AB92" si="21">+AA85</f>
        <v>779146.25303571462</v>
      </c>
      <c r="AC85" s="176">
        <f t="shared" si="20"/>
        <v>779146.25303571462</v>
      </c>
      <c r="AD85" s="254">
        <f t="shared" ref="AD85:AD90" si="22">+AA85</f>
        <v>779146.25303571462</v>
      </c>
      <c r="AF85"/>
      <c r="AG85"/>
    </row>
    <row r="86" spans="2:35" ht="12" customHeight="1" x14ac:dyDescent="0.3">
      <c r="B86" s="168" t="s">
        <v>66</v>
      </c>
      <c r="C86" s="85">
        <v>2145821.02</v>
      </c>
      <c r="D86" s="85">
        <v>2162565.1399999997</v>
      </c>
      <c r="E86" s="85">
        <v>2097865.7400000002</v>
      </c>
      <c r="F86" s="85">
        <v>2080437</v>
      </c>
      <c r="G86" s="87">
        <v>2163492</v>
      </c>
      <c r="H86" s="85">
        <v>2171772</v>
      </c>
      <c r="I86" s="87">
        <v>2163986</v>
      </c>
      <c r="J86" s="104"/>
      <c r="K86" s="87">
        <v>2452784</v>
      </c>
      <c r="L86" s="88">
        <v>2094741</v>
      </c>
      <c r="M86" s="87">
        <v>2094741</v>
      </c>
      <c r="N86" s="94">
        <f t="shared" si="16"/>
        <v>0</v>
      </c>
      <c r="O86" s="45">
        <f t="shared" si="17"/>
        <v>0</v>
      </c>
      <c r="P86" s="89">
        <v>2094741</v>
      </c>
      <c r="Q86" s="175">
        <v>2157761</v>
      </c>
      <c r="R86" s="88">
        <v>2461113</v>
      </c>
      <c r="S86" s="87">
        <v>2775003</v>
      </c>
      <c r="T86" s="87">
        <v>2818885</v>
      </c>
      <c r="U86" s="87">
        <v>2235270.7000000002</v>
      </c>
      <c r="V86" s="94">
        <f t="shared" si="18"/>
        <v>225842.29999999981</v>
      </c>
      <c r="W86" s="110">
        <f t="shared" si="19"/>
        <v>9.1764295259908757E-2</v>
      </c>
      <c r="X86" s="87">
        <v>2504166.8099999996</v>
      </c>
      <c r="Y86" s="336">
        <v>2740213</v>
      </c>
      <c r="Z86" s="88">
        <v>2720195.08209247</v>
      </c>
      <c r="AA86" s="173">
        <v>2794629.8523030085</v>
      </c>
      <c r="AB86" s="176">
        <f t="shared" si="21"/>
        <v>2794629.8523030085</v>
      </c>
      <c r="AC86" s="176">
        <f t="shared" si="20"/>
        <v>2794629.8523030085</v>
      </c>
      <c r="AD86" s="254">
        <f t="shared" si="22"/>
        <v>2794629.8523030085</v>
      </c>
      <c r="AF86"/>
      <c r="AG86"/>
    </row>
    <row r="87" spans="2:35" ht="12" customHeight="1" x14ac:dyDescent="0.3">
      <c r="B87" s="168" t="s">
        <v>31</v>
      </c>
      <c r="C87" s="174">
        <v>2236858.4700000002</v>
      </c>
      <c r="D87" s="174">
        <v>2265490.2250000001</v>
      </c>
      <c r="E87" s="174">
        <v>2229687.3200000003</v>
      </c>
      <c r="F87" s="174">
        <v>2531545</v>
      </c>
      <c r="G87" s="87">
        <v>2529502</v>
      </c>
      <c r="H87" s="85">
        <v>2538332</v>
      </c>
      <c r="I87" s="87">
        <f>4886922-I86</f>
        <v>2722936</v>
      </c>
      <c r="J87" s="104"/>
      <c r="K87" s="87">
        <f>2624382+866507</f>
        <v>3490889</v>
      </c>
      <c r="L87" s="88">
        <f>2664013-L77</f>
        <v>2514013</v>
      </c>
      <c r="M87" s="87">
        <v>2464513</v>
      </c>
      <c r="N87" s="94">
        <f t="shared" si="16"/>
        <v>49500</v>
      </c>
      <c r="O87" s="45">
        <f t="shared" si="17"/>
        <v>1.9689635654230906E-2</v>
      </c>
      <c r="P87" s="89">
        <f>2664013-P77-49500</f>
        <v>2464513</v>
      </c>
      <c r="Q87" s="175">
        <v>2515359</v>
      </c>
      <c r="R87" s="88">
        <v>2821374</v>
      </c>
      <c r="S87" s="87">
        <f>3220788+1067376</f>
        <v>4288164</v>
      </c>
      <c r="T87" s="87">
        <f>3353089+967053</f>
        <v>4320142</v>
      </c>
      <c r="U87" s="87">
        <f>3231835.46+587656.87</f>
        <v>3819492.33</v>
      </c>
      <c r="V87" s="94">
        <f t="shared" si="18"/>
        <v>-998118.33000000007</v>
      </c>
      <c r="W87" s="110">
        <f t="shared" si="19"/>
        <v>-0.35377030127873871</v>
      </c>
      <c r="X87" s="87">
        <f>6304028.25+825095.87</f>
        <v>7129124.1200000001</v>
      </c>
      <c r="Y87" s="336">
        <f>2941791+780159</f>
        <v>3721950</v>
      </c>
      <c r="Z87" s="88">
        <f>2847797.59578079+891444.452491385</f>
        <v>3739242.0482721748</v>
      </c>
      <c r="AA87" s="173">
        <f>2255891.44229395+821266.969023941</f>
        <v>3077158.411317891</v>
      </c>
      <c r="AB87" s="176">
        <f t="shared" si="21"/>
        <v>3077158.411317891</v>
      </c>
      <c r="AC87" s="176">
        <f t="shared" si="20"/>
        <v>3077158.411317891</v>
      </c>
      <c r="AD87" s="254">
        <f t="shared" si="22"/>
        <v>3077158.411317891</v>
      </c>
      <c r="AF87"/>
      <c r="AG87"/>
    </row>
    <row r="88" spans="2:35" ht="12" customHeight="1" x14ac:dyDescent="0.3">
      <c r="B88" s="168" t="s">
        <v>64</v>
      </c>
      <c r="C88" s="174">
        <v>2441153.42</v>
      </c>
      <c r="D88" s="174">
        <v>2477397.73</v>
      </c>
      <c r="E88" s="174">
        <v>2191999.3499999996</v>
      </c>
      <c r="F88" s="174">
        <v>2184708</v>
      </c>
      <c r="G88" s="87">
        <v>2582281</v>
      </c>
      <c r="H88" s="85">
        <v>2961306</v>
      </c>
      <c r="I88" s="87">
        <v>2895515</v>
      </c>
      <c r="J88" s="104"/>
      <c r="K88" s="87">
        <v>3243369</v>
      </c>
      <c r="L88" s="88">
        <v>3068117</v>
      </c>
      <c r="M88" s="87">
        <v>3093918</v>
      </c>
      <c r="N88" s="94">
        <f t="shared" si="16"/>
        <v>-25801</v>
      </c>
      <c r="O88" s="45">
        <f t="shared" si="17"/>
        <v>-8.409392471017239E-3</v>
      </c>
      <c r="P88" s="89">
        <f>3068117+25801</f>
        <v>3093918</v>
      </c>
      <c r="Q88" s="175">
        <v>3083793</v>
      </c>
      <c r="R88" s="88">
        <v>3542365</v>
      </c>
      <c r="S88" s="87">
        <v>3448321</v>
      </c>
      <c r="T88" s="87">
        <v>3590658</v>
      </c>
      <c r="U88" s="87">
        <v>2913613.2</v>
      </c>
      <c r="V88" s="94">
        <f t="shared" si="18"/>
        <v>628751.79999999981</v>
      </c>
      <c r="W88" s="110">
        <f t="shared" si="19"/>
        <v>0.17749492217769761</v>
      </c>
      <c r="X88" s="87">
        <v>2709785.4500000007</v>
      </c>
      <c r="Y88" s="336">
        <v>3582065</v>
      </c>
      <c r="Z88" s="88">
        <v>3596421.1098853899</v>
      </c>
      <c r="AA88" s="173">
        <v>3819192.8413445596</v>
      </c>
      <c r="AB88" s="176">
        <f t="shared" si="21"/>
        <v>3819192.8413445596</v>
      </c>
      <c r="AC88" s="176">
        <f t="shared" si="20"/>
        <v>3819192.8413445596</v>
      </c>
      <c r="AD88" s="254">
        <f t="shared" si="22"/>
        <v>3819192.8413445596</v>
      </c>
      <c r="AF88"/>
      <c r="AG88"/>
    </row>
    <row r="89" spans="2:35" ht="12" customHeight="1" x14ac:dyDescent="0.3">
      <c r="B89" s="168" t="s">
        <v>34</v>
      </c>
      <c r="C89" s="174">
        <v>1396667.2700000003</v>
      </c>
      <c r="D89" s="174">
        <v>1535611.5649999999</v>
      </c>
      <c r="E89" s="174">
        <v>1415245.7699999996</v>
      </c>
      <c r="F89" s="174">
        <v>1501601</v>
      </c>
      <c r="G89" s="87">
        <v>1507481</v>
      </c>
      <c r="H89" s="85">
        <v>1589752</v>
      </c>
      <c r="I89" s="87">
        <f>1860000-I90</f>
        <v>1610502</v>
      </c>
      <c r="J89" s="104"/>
      <c r="K89" s="87">
        <v>1650284</v>
      </c>
      <c r="L89" s="88">
        <v>1539157</v>
      </c>
      <c r="M89" s="87">
        <v>1609157</v>
      </c>
      <c r="N89" s="94">
        <f t="shared" si="16"/>
        <v>-70000</v>
      </c>
      <c r="O89" s="45">
        <f t="shared" si="17"/>
        <v>-4.5479441018687505E-2</v>
      </c>
      <c r="P89" s="89">
        <f>1539157+70000</f>
        <v>1609157</v>
      </c>
      <c r="Q89" s="175">
        <v>1577339</v>
      </c>
      <c r="R89" s="88">
        <v>1585562</v>
      </c>
      <c r="S89" s="87">
        <v>1633128</v>
      </c>
      <c r="T89" s="87">
        <v>1335508</v>
      </c>
      <c r="U89" s="87">
        <v>1041734.16</v>
      </c>
      <c r="V89" s="94">
        <f t="shared" si="18"/>
        <v>543827.84</v>
      </c>
      <c r="W89" s="110">
        <f t="shared" si="19"/>
        <v>0.34298743284715449</v>
      </c>
      <c r="X89" s="87">
        <v>1357645.63</v>
      </c>
      <c r="Y89" s="336">
        <v>1365748</v>
      </c>
      <c r="Z89" s="88">
        <v>1845814</v>
      </c>
      <c r="AA89" s="173">
        <v>1776087.5459808691</v>
      </c>
      <c r="AB89" s="176">
        <f t="shared" si="21"/>
        <v>1776087.5459808691</v>
      </c>
      <c r="AC89" s="176">
        <f t="shared" si="20"/>
        <v>1776087.5459808691</v>
      </c>
      <c r="AD89" s="254">
        <f t="shared" si="22"/>
        <v>1776087.5459808691</v>
      </c>
      <c r="AF89" s="85"/>
      <c r="AG89"/>
    </row>
    <row r="90" spans="2:35" ht="12" customHeight="1" x14ac:dyDescent="0.3">
      <c r="B90" s="168" t="s">
        <v>35</v>
      </c>
      <c r="C90" s="174">
        <v>385846.55000000005</v>
      </c>
      <c r="D90" s="174">
        <v>336699.02</v>
      </c>
      <c r="E90" s="174">
        <v>321497.58</v>
      </c>
      <c r="F90" s="174">
        <v>289519</v>
      </c>
      <c r="G90" s="87">
        <v>283861</v>
      </c>
      <c r="H90" s="85">
        <v>334578</v>
      </c>
      <c r="I90" s="87">
        <v>249498</v>
      </c>
      <c r="J90" s="87"/>
      <c r="K90" s="87">
        <v>228443</v>
      </c>
      <c r="L90" s="88">
        <v>279254</v>
      </c>
      <c r="M90" s="87">
        <v>173642</v>
      </c>
      <c r="N90" s="94">
        <f t="shared" si="16"/>
        <v>105612</v>
      </c>
      <c r="O90" s="45">
        <f t="shared" si="17"/>
        <v>0.37819332937039396</v>
      </c>
      <c r="P90" s="89">
        <f>258642+15000-100000</f>
        <v>173642</v>
      </c>
      <c r="Q90" s="175">
        <v>285152</v>
      </c>
      <c r="R90" s="88">
        <v>200239</v>
      </c>
      <c r="S90" s="87">
        <v>167208</v>
      </c>
      <c r="T90" s="87">
        <v>145541</v>
      </c>
      <c r="U90" s="87">
        <f>1478324.24-1382247.38</f>
        <v>96076.860000000102</v>
      </c>
      <c r="V90" s="94">
        <f t="shared" si="18"/>
        <v>104162.1399999999</v>
      </c>
      <c r="W90" s="110">
        <f t="shared" si="19"/>
        <v>0.52018907405650194</v>
      </c>
      <c r="X90" s="87">
        <f xml:space="preserve"> 2375581.46-2257052.76</f>
        <v>118528.70000000019</v>
      </c>
      <c r="Y90" s="336">
        <v>136838</v>
      </c>
      <c r="Z90" s="88">
        <f>2670181.96733508-2594470</f>
        <v>75711.967335079797</v>
      </c>
      <c r="AA90" s="173">
        <f>2678334.19273879-2594470</f>
        <v>83864.192738790065</v>
      </c>
      <c r="AB90" s="176">
        <f t="shared" si="21"/>
        <v>83864.192738790065</v>
      </c>
      <c r="AC90" s="176">
        <f t="shared" si="20"/>
        <v>83864.192738790065</v>
      </c>
      <c r="AD90" s="254">
        <f t="shared" si="22"/>
        <v>83864.192738790065</v>
      </c>
      <c r="AF90"/>
      <c r="AG90"/>
    </row>
    <row r="91" spans="2:35" ht="12" customHeight="1" x14ac:dyDescent="0.3">
      <c r="I91" s="87"/>
      <c r="J91" s="87"/>
      <c r="K91" s="87"/>
      <c r="L91" s="88"/>
      <c r="M91" s="87"/>
      <c r="N91" s="94"/>
      <c r="O91" s="45"/>
      <c r="P91" s="89"/>
      <c r="Q91" s="175"/>
      <c r="R91" s="177"/>
      <c r="S91" s="176"/>
      <c r="T91" s="87"/>
      <c r="U91" s="87"/>
      <c r="V91" s="94"/>
      <c r="W91" s="110"/>
      <c r="X91" s="87"/>
      <c r="Y91" s="336"/>
      <c r="Z91" s="336"/>
      <c r="AA91" s="173"/>
      <c r="AB91" s="176"/>
      <c r="AC91" s="176"/>
      <c r="AD91" s="254"/>
      <c r="AF91"/>
      <c r="AG91"/>
      <c r="AH91" s="285"/>
      <c r="AI91" s="285"/>
    </row>
    <row r="92" spans="2:35" ht="12" customHeight="1" x14ac:dyDescent="0.3">
      <c r="B92" s="168" t="s">
        <v>55</v>
      </c>
      <c r="C92" s="90">
        <f>1182227+1925202</f>
        <v>3107429</v>
      </c>
      <c r="D92" s="90">
        <f>2583043-110878</f>
        <v>2472165</v>
      </c>
      <c r="E92" s="90">
        <f>3275200-606587</f>
        <v>2668613</v>
      </c>
      <c r="F92" s="90">
        <f>2584465-1</f>
        <v>2584464</v>
      </c>
      <c r="G92" s="90">
        <f>2599815+702</f>
        <v>2600517</v>
      </c>
      <c r="H92" s="90">
        <v>2557126</v>
      </c>
      <c r="I92" s="90">
        <f>2620130+300</f>
        <v>2620430</v>
      </c>
      <c r="J92" s="178"/>
      <c r="K92" s="90">
        <v>2485277.2999999998</v>
      </c>
      <c r="L92" s="92">
        <f>2434281+1-20608</f>
        <v>2413674</v>
      </c>
      <c r="M92" s="90">
        <v>2364888</v>
      </c>
      <c r="N92" s="179">
        <f>+L92-M92</f>
        <v>48786</v>
      </c>
      <c r="O92" s="62">
        <f t="shared" si="17"/>
        <v>2.0212340191757463E-2</v>
      </c>
      <c r="P92" s="93">
        <f>+L92-61754-140000+152968</f>
        <v>2364888</v>
      </c>
      <c r="Q92" s="180">
        <v>2538240</v>
      </c>
      <c r="R92" s="92">
        <v>2451180.9999999995</v>
      </c>
      <c r="S92" s="90">
        <f>2959587</f>
        <v>2959587</v>
      </c>
      <c r="T92" s="90">
        <v>4361832.51</v>
      </c>
      <c r="U92" s="90">
        <f>6191186.63+1382247.38</f>
        <v>7573434.0099999998</v>
      </c>
      <c r="V92" s="179">
        <f>+R92-U92</f>
        <v>-5122253.01</v>
      </c>
      <c r="W92" s="223">
        <f>+V92/R92</f>
        <v>-2.0897081896440941</v>
      </c>
      <c r="X92" s="90">
        <f>3919488.02+2257052.76</f>
        <v>6176540.7799999993</v>
      </c>
      <c r="Y92" s="340">
        <v>2204688</v>
      </c>
      <c r="Z92" s="60">
        <f>1419632.86+2594470-Z81</f>
        <v>1998382.8600000003</v>
      </c>
      <c r="AA92" s="467">
        <f>2221535+2594470-AA81</f>
        <v>2800285</v>
      </c>
      <c r="AB92" s="180">
        <f t="shared" si="21"/>
        <v>2800285</v>
      </c>
      <c r="AC92" s="180">
        <f t="shared" si="20"/>
        <v>2800285</v>
      </c>
      <c r="AD92" s="255">
        <f>+AA92</f>
        <v>2800285</v>
      </c>
      <c r="AF92"/>
      <c r="AG92"/>
    </row>
    <row r="93" spans="2:35" ht="12" customHeight="1" x14ac:dyDescent="0.3">
      <c r="L93" s="29"/>
      <c r="N93" s="30"/>
      <c r="O93" s="31"/>
      <c r="P93" s="64"/>
      <c r="Q93"/>
      <c r="R93" s="71"/>
      <c r="S93"/>
      <c r="V93" s="30"/>
      <c r="W93" s="30"/>
      <c r="Y93" s="332"/>
      <c r="Z93" s="332"/>
      <c r="AD93" s="239"/>
      <c r="AF93"/>
      <c r="AG93"/>
    </row>
    <row r="94" spans="2:35" ht="12" customHeight="1" thickBot="1" x14ac:dyDescent="0.35">
      <c r="B94" s="2" t="s">
        <v>56</v>
      </c>
      <c r="C94" s="181">
        <f>SUM(C83:C93)</f>
        <v>16505379.84</v>
      </c>
      <c r="D94" s="181">
        <f>SUM(D83:D93)</f>
        <v>15832636.379999999</v>
      </c>
      <c r="E94" s="181">
        <f>SUM(E83:E93)</f>
        <v>15522865.939999998</v>
      </c>
      <c r="F94" s="181">
        <f>SUM(F83:F93)</f>
        <v>15740870</v>
      </c>
      <c r="G94" s="181">
        <f>SUM(G83:G93)</f>
        <v>16587889</v>
      </c>
      <c r="H94" s="181">
        <f>SUM(H83:H92)</f>
        <v>17361388</v>
      </c>
      <c r="I94" s="181">
        <f>SUM(I77:I93)</f>
        <v>17179441</v>
      </c>
      <c r="J94" s="181"/>
      <c r="K94" s="181">
        <f>SUM(K77:K93)</f>
        <v>17060915.300000001</v>
      </c>
      <c r="L94" s="182">
        <f>SUM(L77:L93)</f>
        <v>17145710</v>
      </c>
      <c r="M94" s="181">
        <f>SUM(M77:M93)</f>
        <v>16642659</v>
      </c>
      <c r="N94" s="183">
        <f>SUM(N77:N92)</f>
        <v>503051</v>
      </c>
      <c r="O94" s="69">
        <f>+N94/L94</f>
        <v>2.9339759041766132E-2</v>
      </c>
      <c r="P94" s="184">
        <f>SUM(P77:P93)</f>
        <v>16642659</v>
      </c>
      <c r="Q94" s="181">
        <v>17325434</v>
      </c>
      <c r="R94" s="182">
        <f>SUM(R77:R93)</f>
        <v>17723467</v>
      </c>
      <c r="S94" s="181">
        <f>SUM(S77:S93)</f>
        <v>18574630</v>
      </c>
      <c r="T94" s="181">
        <f>SUM(T77:T93)</f>
        <v>19582986.509999998</v>
      </c>
      <c r="U94" s="181">
        <f>SUM(U77:U93)</f>
        <v>20018897.630000003</v>
      </c>
      <c r="V94" s="183">
        <f>SUM(V77:V92)</f>
        <v>-2295430.6300000008</v>
      </c>
      <c r="W94" s="259">
        <f>+V94/R94</f>
        <v>-0.12951363466301491</v>
      </c>
      <c r="X94" s="181">
        <f>SUM(X77:X93)</f>
        <v>21431034.289999999</v>
      </c>
      <c r="Y94" s="354">
        <f t="shared" ref="Y94:AD94" si="23">SUM(Y77:Y93)</f>
        <v>18552209</v>
      </c>
      <c r="Z94" s="182">
        <f t="shared" si="23"/>
        <v>18381684.736564763</v>
      </c>
      <c r="AA94" s="181">
        <f t="shared" si="23"/>
        <v>18814540.507546049</v>
      </c>
      <c r="AB94" s="181">
        <f t="shared" si="23"/>
        <v>19703118.750681907</v>
      </c>
      <c r="AC94" s="181">
        <f t="shared" si="23"/>
        <v>19768785.31161128</v>
      </c>
      <c r="AD94" s="256">
        <f t="shared" si="23"/>
        <v>19840022.170180317</v>
      </c>
      <c r="AF94"/>
      <c r="AG94"/>
    </row>
    <row r="95" spans="2:35" ht="12" customHeight="1" thickTop="1" x14ac:dyDescent="0.3">
      <c r="L95" s="29"/>
      <c r="N95" s="30"/>
      <c r="O95" s="31"/>
      <c r="P95" s="64"/>
      <c r="Q95"/>
      <c r="R95" s="71"/>
      <c r="S95"/>
      <c r="V95" s="30"/>
      <c r="W95" s="30"/>
      <c r="Y95" s="334"/>
      <c r="Z95" s="334"/>
      <c r="AD95" s="429"/>
      <c r="AF95"/>
      <c r="AG95"/>
    </row>
    <row r="96" spans="2:35" ht="12" customHeight="1" x14ac:dyDescent="0.3">
      <c r="L96" s="29"/>
      <c r="N96" s="30"/>
      <c r="O96" s="31"/>
      <c r="P96" s="64"/>
      <c r="Q96"/>
      <c r="R96" s="71"/>
      <c r="S96"/>
      <c r="V96" s="30"/>
      <c r="W96" s="30"/>
      <c r="X96" s="164"/>
      <c r="Y96" s="334"/>
      <c r="Z96" s="334"/>
      <c r="AF96"/>
      <c r="AG96"/>
    </row>
    <row r="97" spans="2:34" ht="22.2" hidden="1" customHeight="1" thickBot="1" x14ac:dyDescent="0.35">
      <c r="B97" s="2" t="s">
        <v>57</v>
      </c>
      <c r="C97" s="185">
        <f>+C75-C94</f>
        <v>-847347.66999999993</v>
      </c>
      <c r="D97" s="185">
        <f>+D75-D94</f>
        <v>780634.62000000104</v>
      </c>
      <c r="E97" s="185">
        <f>+E75-E94</f>
        <v>1207252.9390909113</v>
      </c>
      <c r="F97" s="185">
        <f>+F75-F94</f>
        <v>769040.90909091011</v>
      </c>
      <c r="G97" s="186">
        <f>+G75-G94</f>
        <v>-698137.09090908989</v>
      </c>
      <c r="H97" s="186">
        <f>ROUND(+H75-H94,0)</f>
        <v>391753</v>
      </c>
      <c r="I97" s="186">
        <f>ROUND(+I75-I94,0)</f>
        <v>-1333630</v>
      </c>
      <c r="J97" s="185"/>
      <c r="K97" s="186">
        <f>ROUND(+K75-K94,0)</f>
        <v>-876533</v>
      </c>
      <c r="L97" s="187">
        <f>+L75-L94</f>
        <v>78753</v>
      </c>
      <c r="M97" s="185">
        <f>ROUND(+M75-M94,0)</f>
        <v>133095</v>
      </c>
      <c r="N97" s="185">
        <f>+N75+N94</f>
        <v>54342</v>
      </c>
      <c r="O97" s="316">
        <f>+N97/L97</f>
        <v>0.69003085596739167</v>
      </c>
      <c r="P97" s="189">
        <f>+P75-P94</f>
        <v>133095</v>
      </c>
      <c r="Q97" s="185">
        <v>147867.21200000122</v>
      </c>
      <c r="R97" s="190">
        <f>+R75-R94</f>
        <v>-1887817</v>
      </c>
      <c r="S97" s="186">
        <f>ROUND(+S75-S94,0)</f>
        <v>-4111857</v>
      </c>
      <c r="T97" s="186">
        <f>+T75-T94</f>
        <v>-9510002.6099999975</v>
      </c>
      <c r="U97" s="185">
        <f>+U75-U94</f>
        <v>1531007.2099999934</v>
      </c>
      <c r="V97" s="186">
        <f>+V75+V94</f>
        <v>-4342450.790000001</v>
      </c>
      <c r="W97" s="186">
        <f>+V97/R97</f>
        <v>2.3002498600235093</v>
      </c>
      <c r="X97" s="185">
        <f>+X75-X94</f>
        <v>621723.41000000387</v>
      </c>
      <c r="Y97" s="186">
        <f>+Y75-Y94</f>
        <v>-938433.17500000075</v>
      </c>
      <c r="Z97" s="186">
        <f>+Z75-Z94</f>
        <v>-393613.35072524101</v>
      </c>
      <c r="AA97" s="181">
        <f>+AA75-AA94</f>
        <v>-250840.14191365615</v>
      </c>
      <c r="AB97" s="181">
        <f>+AB75-AB94</f>
        <v>765361.55896084011</v>
      </c>
      <c r="AC97" s="181"/>
      <c r="AD97" s="256">
        <f>+AD75-AD94</f>
        <v>1438085.1709157676</v>
      </c>
      <c r="AF97"/>
      <c r="AG97"/>
      <c r="AH97" s="169"/>
    </row>
    <row r="98" spans="2:34" ht="12" customHeight="1" x14ac:dyDescent="0.3">
      <c r="C98" s="164"/>
      <c r="D98" s="164"/>
      <c r="E98" s="164"/>
      <c r="F98" s="164"/>
      <c r="G98" s="164"/>
      <c r="H98" s="82"/>
      <c r="I98" s="164"/>
      <c r="J98" s="164"/>
      <c r="K98" s="164"/>
      <c r="L98" s="191"/>
      <c r="M98" s="164"/>
      <c r="N98" s="192"/>
      <c r="O98" s="45"/>
      <c r="P98" s="193"/>
      <c r="Q98" s="164"/>
      <c r="R98" s="191"/>
      <c r="S98" s="164"/>
      <c r="T98" s="164"/>
      <c r="U98" s="164" t="s">
        <v>2</v>
      </c>
      <c r="V98" s="192"/>
      <c r="W98" s="110"/>
      <c r="X98" s="164"/>
      <c r="Y98" s="164"/>
      <c r="Z98" s="164"/>
      <c r="AA98" s="164"/>
      <c r="AB98" s="164"/>
      <c r="AC98" s="164"/>
      <c r="AD98" s="164"/>
      <c r="AE98" s="164"/>
      <c r="AF98"/>
      <c r="AG98"/>
      <c r="AH98" s="169"/>
    </row>
    <row r="99" spans="2:34" ht="12" hidden="1" customHeight="1" x14ac:dyDescent="0.3">
      <c r="B99" s="2" t="s">
        <v>58</v>
      </c>
      <c r="C99" s="164"/>
      <c r="D99" s="164"/>
      <c r="E99" s="164"/>
      <c r="F99" s="164"/>
      <c r="G99" s="164"/>
      <c r="H99" s="82"/>
      <c r="I99" s="164"/>
      <c r="J99" s="164"/>
      <c r="K99" s="164"/>
      <c r="L99" s="191"/>
      <c r="M99" s="164"/>
      <c r="N99" s="192"/>
      <c r="O99" s="45"/>
      <c r="P99" s="193"/>
      <c r="Q99" s="164"/>
      <c r="R99" s="191">
        <f>IF(R97&lt;0,-R97)</f>
        <v>1887817</v>
      </c>
      <c r="S99" s="164"/>
      <c r="T99" s="164">
        <f>IF(T97&lt;0,-T97)</f>
        <v>9510002.6099999975</v>
      </c>
      <c r="U99" s="164" t="b">
        <f>IF(U97&lt;0,-U97)</f>
        <v>0</v>
      </c>
      <c r="V99" s="192"/>
      <c r="W99" s="110"/>
      <c r="X99" s="164" t="b">
        <f>IF(X97&lt;0,-X97)</f>
        <v>0</v>
      </c>
      <c r="Y99" s="191">
        <f>IF(Y97&lt;0,-Y97)</f>
        <v>938433.17500000075</v>
      </c>
      <c r="Z99" s="164"/>
      <c r="AA99" s="164"/>
      <c r="AB99" s="164">
        <f>IF(AB97&lt;0,-AB97,0)</f>
        <v>0</v>
      </c>
      <c r="AC99" s="164"/>
      <c r="AD99" s="257">
        <f>IF(AD97&lt;0,-AD97,0)</f>
        <v>0</v>
      </c>
      <c r="AF99"/>
      <c r="AG99"/>
      <c r="AH99" s="169"/>
    </row>
    <row r="100" spans="2:34" ht="12" hidden="1" customHeight="1" x14ac:dyDescent="0.3">
      <c r="C100" s="164"/>
      <c r="D100" s="164"/>
      <c r="E100" s="164"/>
      <c r="F100" s="164"/>
      <c r="G100" s="164"/>
      <c r="H100" s="82"/>
      <c r="I100" s="164"/>
      <c r="J100" s="164"/>
      <c r="K100" s="164"/>
      <c r="L100" s="191"/>
      <c r="M100" s="164"/>
      <c r="N100" s="192"/>
      <c r="O100" s="45"/>
      <c r="P100" s="193"/>
      <c r="Q100" s="164"/>
      <c r="R100" s="191"/>
      <c r="S100" s="164"/>
      <c r="T100" s="164"/>
      <c r="U100" s="164"/>
      <c r="V100" s="192"/>
      <c r="W100" s="110"/>
      <c r="X100" s="164"/>
      <c r="Y100" s="191"/>
      <c r="Z100" s="164"/>
      <c r="AA100" s="164"/>
      <c r="AB100" s="164"/>
      <c r="AC100" s="164"/>
      <c r="AD100" s="257"/>
      <c r="AF100"/>
      <c r="AG100"/>
      <c r="AH100" s="169"/>
    </row>
    <row r="101" spans="2:34" ht="12" hidden="1" customHeight="1" x14ac:dyDescent="0.3">
      <c r="B101" s="2" t="s">
        <v>59</v>
      </c>
      <c r="C101" s="164"/>
      <c r="D101" s="164"/>
      <c r="E101" s="164"/>
      <c r="F101" s="164"/>
      <c r="G101" s="164"/>
      <c r="H101" s="82"/>
      <c r="I101" s="164"/>
      <c r="J101" s="164"/>
      <c r="K101" s="164"/>
      <c r="L101" s="194"/>
      <c r="M101" s="195"/>
      <c r="N101" s="196"/>
      <c r="O101" s="197"/>
      <c r="P101" s="198"/>
      <c r="Q101" s="195"/>
      <c r="R101" s="199">
        <f>R97+R99</f>
        <v>0</v>
      </c>
      <c r="S101" s="164"/>
      <c r="T101" s="195">
        <f>T97+T99</f>
        <v>0</v>
      </c>
      <c r="U101" s="195">
        <f>U97+U99</f>
        <v>1531007.2099999934</v>
      </c>
      <c r="V101" s="201"/>
      <c r="W101" s="262"/>
      <c r="X101" s="195">
        <f>X97+X99</f>
        <v>621723.41000000387</v>
      </c>
      <c r="Y101" s="199">
        <f t="shared" ref="Y101:AD101" si="24">Y97+Y99</f>
        <v>0</v>
      </c>
      <c r="Z101" s="200"/>
      <c r="AA101" s="200"/>
      <c r="AB101" s="200">
        <f t="shared" si="24"/>
        <v>765361.55896084011</v>
      </c>
      <c r="AC101" s="200"/>
      <c r="AD101" s="258">
        <f t="shared" si="24"/>
        <v>1438085.1709157676</v>
      </c>
      <c r="AF101"/>
      <c r="AG101"/>
      <c r="AH101" s="169"/>
    </row>
    <row r="102" spans="2:34" ht="12" hidden="1" customHeight="1" x14ac:dyDescent="0.25">
      <c r="C102" s="164"/>
      <c r="D102" s="164"/>
      <c r="E102" s="164"/>
      <c r="F102" s="164"/>
      <c r="G102" s="164"/>
      <c r="H102" s="82"/>
      <c r="I102" s="164"/>
      <c r="J102" s="164"/>
      <c r="K102" s="164"/>
      <c r="L102" s="191"/>
      <c r="M102" s="164"/>
      <c r="N102" s="192"/>
      <c r="O102" s="45"/>
      <c r="P102" s="193"/>
      <c r="Q102" s="164"/>
      <c r="R102" s="191"/>
      <c r="S102" s="164"/>
      <c r="T102" s="164"/>
      <c r="U102" s="164"/>
      <c r="V102" s="192"/>
      <c r="W102" s="45"/>
      <c r="X102" s="164"/>
      <c r="Y102" s="164"/>
      <c r="Z102" s="164"/>
      <c r="AA102" s="164"/>
      <c r="AB102" s="164"/>
      <c r="AC102" s="164"/>
      <c r="AD102" s="164"/>
      <c r="AE102" s="34"/>
      <c r="AH102" s="169"/>
    </row>
    <row r="103" spans="2:34" ht="12" hidden="1" customHeight="1" x14ac:dyDescent="0.25">
      <c r="C103" s="164"/>
      <c r="D103" s="164"/>
      <c r="E103" s="164"/>
      <c r="F103" s="164"/>
      <c r="G103" s="164"/>
      <c r="H103" s="82"/>
      <c r="I103" s="164"/>
      <c r="J103" s="164"/>
      <c r="K103" s="164"/>
      <c r="L103" s="191"/>
      <c r="M103" s="164"/>
      <c r="N103" s="192"/>
      <c r="O103" s="45"/>
      <c r="P103" s="193"/>
      <c r="Q103" s="164"/>
      <c r="R103" s="191"/>
      <c r="S103" s="164"/>
      <c r="T103" s="164"/>
      <c r="U103" s="164"/>
      <c r="V103" s="192"/>
      <c r="W103" s="45"/>
      <c r="X103" s="164"/>
      <c r="Y103" s="164"/>
      <c r="Z103" s="164"/>
      <c r="AA103" s="164"/>
      <c r="AB103" s="164"/>
      <c r="AC103" s="164"/>
      <c r="AD103" s="164"/>
      <c r="AE103" s="34"/>
      <c r="AH103" s="169"/>
    </row>
    <row r="104" spans="2:34" ht="12" hidden="1" customHeight="1" x14ac:dyDescent="0.25">
      <c r="C104" s="164"/>
      <c r="D104" s="164"/>
      <c r="E104" s="164"/>
      <c r="F104" s="164"/>
      <c r="G104" s="164"/>
      <c r="H104" s="82"/>
      <c r="I104" s="164"/>
      <c r="J104" s="164"/>
      <c r="K104" s="164"/>
      <c r="L104" s="191"/>
      <c r="M104" s="164"/>
      <c r="N104" s="192"/>
      <c r="O104" s="45"/>
      <c r="P104" s="193"/>
      <c r="Q104" s="164"/>
      <c r="R104" s="191"/>
      <c r="S104" s="164"/>
      <c r="T104" s="164"/>
      <c r="U104" s="164"/>
      <c r="V104" s="192"/>
      <c r="W104" s="45"/>
      <c r="X104" s="164"/>
      <c r="Y104" s="164"/>
      <c r="Z104" s="164"/>
      <c r="AA104" s="164"/>
      <c r="AB104" s="164"/>
      <c r="AC104" s="164"/>
      <c r="AD104" s="164"/>
      <c r="AE104" s="34"/>
      <c r="AH104" s="169"/>
    </row>
    <row r="105" spans="2:34" ht="12" hidden="1" customHeight="1" x14ac:dyDescent="0.25">
      <c r="C105" s="164"/>
      <c r="D105" s="164"/>
      <c r="E105" s="164"/>
      <c r="F105" s="164"/>
      <c r="G105" s="164"/>
      <c r="H105" s="82"/>
      <c r="I105" s="164"/>
      <c r="J105" s="164"/>
      <c r="K105" s="164"/>
      <c r="L105" s="191"/>
      <c r="M105" s="164"/>
      <c r="N105" s="192"/>
      <c r="O105" s="45"/>
      <c r="P105" s="193"/>
      <c r="Q105" s="164"/>
      <c r="R105" s="191"/>
      <c r="S105" s="164"/>
      <c r="T105" s="164"/>
      <c r="U105" s="164"/>
      <c r="V105" s="192"/>
      <c r="W105" s="45"/>
      <c r="X105" s="164"/>
      <c r="Y105" s="164"/>
      <c r="Z105" s="164"/>
      <c r="AA105" s="164"/>
      <c r="AB105" s="164"/>
      <c r="AC105" s="164"/>
      <c r="AD105" s="164"/>
      <c r="AE105" s="34"/>
      <c r="AH105" s="169"/>
    </row>
    <row r="106" spans="2:34" ht="12" hidden="1" customHeight="1" x14ac:dyDescent="0.25">
      <c r="C106" s="164"/>
      <c r="D106" s="164"/>
      <c r="E106" s="164"/>
      <c r="F106" s="164"/>
      <c r="G106" s="164"/>
      <c r="H106" s="82"/>
      <c r="I106" s="164"/>
      <c r="J106" s="164"/>
      <c r="K106" s="164"/>
      <c r="L106" s="191"/>
      <c r="M106" s="164"/>
      <c r="N106" s="192"/>
      <c r="O106" s="45"/>
      <c r="P106" s="193"/>
      <c r="Q106" s="164"/>
      <c r="R106" s="191"/>
      <c r="S106" s="164"/>
      <c r="T106" s="164"/>
      <c r="U106" s="164"/>
      <c r="V106" s="192"/>
      <c r="W106" s="45"/>
      <c r="X106" s="164"/>
      <c r="Y106" s="164"/>
      <c r="Z106" s="164"/>
      <c r="AA106" s="164"/>
      <c r="AB106" s="164"/>
      <c r="AC106" s="164"/>
      <c r="AD106" s="164"/>
      <c r="AE106" s="34"/>
      <c r="AH106" s="169"/>
    </row>
    <row r="107" spans="2:34" ht="12" hidden="1" customHeight="1" x14ac:dyDescent="0.25">
      <c r="C107" s="164"/>
      <c r="D107" s="164"/>
      <c r="E107" s="164"/>
      <c r="F107" s="164"/>
      <c r="G107" s="164"/>
      <c r="H107" s="82"/>
      <c r="I107" s="164"/>
      <c r="J107" s="164"/>
      <c r="K107" s="164"/>
      <c r="L107" s="191"/>
      <c r="M107" s="164"/>
      <c r="N107" s="192"/>
      <c r="O107" s="45"/>
      <c r="P107" s="193"/>
      <c r="Q107" s="164"/>
      <c r="R107" s="191"/>
      <c r="S107" s="164"/>
      <c r="T107" s="164"/>
      <c r="U107" s="164"/>
      <c r="V107" s="192"/>
      <c r="W107" s="45"/>
      <c r="X107" s="164"/>
      <c r="Y107" s="164"/>
      <c r="Z107" s="164"/>
      <c r="AA107" s="164"/>
      <c r="AB107" s="164"/>
      <c r="AC107" s="164"/>
      <c r="AD107" s="164"/>
      <c r="AE107" s="34"/>
      <c r="AH107" s="169"/>
    </row>
    <row r="108" spans="2:34" ht="12" hidden="1" customHeight="1" x14ac:dyDescent="0.25">
      <c r="C108" s="164"/>
      <c r="D108" s="164"/>
      <c r="E108" s="164"/>
      <c r="F108" s="164"/>
      <c r="G108" s="164"/>
      <c r="H108" s="82"/>
      <c r="I108" s="164"/>
      <c r="J108" s="164"/>
      <c r="K108" s="164"/>
      <c r="L108" s="191"/>
      <c r="M108" s="164"/>
      <c r="N108" s="192"/>
      <c r="O108" s="45"/>
      <c r="P108" s="193"/>
      <c r="Q108" s="164"/>
      <c r="R108" s="191"/>
      <c r="S108" s="164"/>
      <c r="T108" s="164"/>
      <c r="U108" s="164"/>
      <c r="V108" s="192"/>
      <c r="W108" s="45"/>
      <c r="X108" s="164"/>
      <c r="Y108" s="164"/>
      <c r="Z108" s="164"/>
      <c r="AA108" s="164"/>
      <c r="AB108" s="164"/>
      <c r="AC108" s="164"/>
      <c r="AD108" s="164"/>
      <c r="AE108" s="34"/>
      <c r="AH108" s="169"/>
    </row>
    <row r="109" spans="2:34" ht="12" hidden="1" customHeight="1" x14ac:dyDescent="0.25">
      <c r="C109" s="164"/>
      <c r="D109" s="164"/>
      <c r="E109" s="164"/>
      <c r="F109" s="164"/>
      <c r="G109" s="164"/>
      <c r="H109" s="82"/>
      <c r="I109" s="164"/>
      <c r="J109" s="164"/>
      <c r="K109" s="164"/>
      <c r="L109" s="191"/>
      <c r="M109" s="164"/>
      <c r="N109" s="192"/>
      <c r="O109" s="45"/>
      <c r="P109" s="193"/>
      <c r="Q109" s="164"/>
      <c r="R109" s="191"/>
      <c r="S109" s="164"/>
      <c r="T109" s="164"/>
      <c r="U109" s="164"/>
      <c r="V109" s="192"/>
      <c r="W109" s="45"/>
      <c r="X109" s="164"/>
      <c r="Y109" s="164"/>
      <c r="Z109" s="164"/>
      <c r="AA109" s="164"/>
      <c r="AB109" s="164"/>
      <c r="AC109" s="164"/>
      <c r="AD109" s="164"/>
      <c r="AE109" s="34"/>
      <c r="AH109" s="169"/>
    </row>
    <row r="110" spans="2:34" ht="12" hidden="1" customHeight="1" x14ac:dyDescent="0.25">
      <c r="C110" s="164"/>
      <c r="D110" s="164"/>
      <c r="E110" s="164"/>
      <c r="F110" s="164"/>
      <c r="G110" s="164"/>
      <c r="H110" s="82"/>
      <c r="I110" s="164"/>
      <c r="J110" s="164"/>
      <c r="K110" s="164"/>
      <c r="L110" s="191"/>
      <c r="M110" s="164"/>
      <c r="N110" s="192"/>
      <c r="O110" s="45"/>
      <c r="P110" s="193"/>
      <c r="Q110" s="164"/>
      <c r="R110" s="191"/>
      <c r="S110" s="164"/>
      <c r="T110" s="164"/>
      <c r="U110" s="164"/>
      <c r="V110" s="192"/>
      <c r="W110" s="45"/>
      <c r="X110" s="164"/>
      <c r="Y110" s="164"/>
      <c r="Z110" s="164"/>
      <c r="AA110" s="164"/>
      <c r="AB110" s="164"/>
      <c r="AC110" s="164"/>
      <c r="AD110" s="164"/>
      <c r="AE110" s="34"/>
      <c r="AH110" s="169"/>
    </row>
    <row r="111" spans="2:34" ht="12" hidden="1" customHeight="1" x14ac:dyDescent="0.25">
      <c r="C111" s="164"/>
      <c r="D111" s="164"/>
      <c r="E111" s="164"/>
      <c r="F111" s="164"/>
      <c r="G111" s="164"/>
      <c r="H111" s="82"/>
      <c r="I111" s="164"/>
      <c r="J111" s="164"/>
      <c r="K111" s="164"/>
      <c r="L111" s="191"/>
      <c r="M111" s="164"/>
      <c r="N111" s="192"/>
      <c r="O111" s="45"/>
      <c r="P111" s="193"/>
      <c r="Q111" s="164"/>
      <c r="R111" s="191"/>
      <c r="S111" s="164"/>
      <c r="T111" s="164"/>
      <c r="U111" s="164"/>
      <c r="V111" s="192"/>
      <c r="W111" s="45"/>
      <c r="X111" s="164"/>
      <c r="Y111" s="164"/>
      <c r="Z111" s="164"/>
      <c r="AA111" s="164"/>
      <c r="AB111" s="164"/>
      <c r="AC111" s="164"/>
      <c r="AD111" s="164"/>
      <c r="AE111" s="34"/>
      <c r="AH111" s="169"/>
    </row>
    <row r="112" spans="2:34" ht="12" hidden="1" customHeight="1" x14ac:dyDescent="0.25">
      <c r="C112" s="164"/>
      <c r="D112" s="164"/>
      <c r="E112" s="164"/>
      <c r="F112" s="164"/>
      <c r="G112" s="164"/>
      <c r="H112" s="82"/>
      <c r="I112" s="164"/>
      <c r="J112" s="164"/>
      <c r="K112" s="164"/>
      <c r="L112" s="191"/>
      <c r="M112" s="164"/>
      <c r="N112" s="192"/>
      <c r="O112" s="45"/>
      <c r="P112" s="193"/>
      <c r="Q112" s="164"/>
      <c r="R112" s="191"/>
      <c r="S112" s="164"/>
      <c r="T112" s="164"/>
      <c r="U112" s="164"/>
      <c r="V112" s="192"/>
      <c r="W112" s="45"/>
      <c r="X112" s="164"/>
      <c r="Y112" s="164"/>
      <c r="Z112" s="164"/>
      <c r="AA112" s="164"/>
      <c r="AB112" s="164"/>
      <c r="AC112" s="164"/>
      <c r="AD112" s="164"/>
      <c r="AE112" s="34"/>
      <c r="AH112" s="169"/>
    </row>
    <row r="113" spans="2:34" ht="12" hidden="1" customHeight="1" x14ac:dyDescent="0.25">
      <c r="C113" s="164"/>
      <c r="D113" s="164"/>
      <c r="E113" s="164"/>
      <c r="F113" s="164"/>
      <c r="G113" s="164"/>
      <c r="H113" s="82"/>
      <c r="I113" s="164"/>
      <c r="J113" s="164"/>
      <c r="K113" s="164"/>
      <c r="L113" s="191"/>
      <c r="M113" s="164"/>
      <c r="N113" s="192"/>
      <c r="O113" s="45"/>
      <c r="P113" s="193"/>
      <c r="Q113" s="164"/>
      <c r="R113" s="191"/>
      <c r="S113" s="164"/>
      <c r="T113" s="164"/>
      <c r="U113" s="164"/>
      <c r="V113" s="192"/>
      <c r="W113" s="45"/>
      <c r="X113" s="164"/>
      <c r="Y113" s="164"/>
      <c r="Z113" s="164"/>
      <c r="AA113" s="164"/>
      <c r="AB113" s="164"/>
      <c r="AC113" s="164"/>
      <c r="AD113" s="164"/>
      <c r="AE113" s="34"/>
      <c r="AH113" s="169"/>
    </row>
    <row r="114" spans="2:34" ht="12" hidden="1" customHeight="1" x14ac:dyDescent="0.3">
      <c r="C114" s="164"/>
      <c r="D114" s="164"/>
      <c r="E114" s="164"/>
      <c r="F114" s="164"/>
      <c r="G114" s="164"/>
      <c r="H114" s="82"/>
      <c r="I114" s="164"/>
      <c r="J114" s="164"/>
      <c r="K114" s="164"/>
      <c r="L114" s="29"/>
      <c r="N114"/>
      <c r="O114" s="202"/>
      <c r="P114" s="193"/>
      <c r="Q114" s="164"/>
      <c r="R114" s="191"/>
      <c r="S114" s="164"/>
      <c r="T114" s="164"/>
      <c r="U114" s="164"/>
      <c r="V114"/>
      <c r="W114" s="202"/>
      <c r="X114" s="164"/>
      <c r="Y114" s="164"/>
      <c r="Z114" s="164"/>
      <c r="AA114" s="164"/>
      <c r="AB114" s="164"/>
      <c r="AC114" s="164"/>
      <c r="AD114" s="164"/>
      <c r="AE114" s="34"/>
      <c r="AH114" s="169"/>
    </row>
    <row r="115" spans="2:34" ht="12" hidden="1" customHeight="1" x14ac:dyDescent="0.3">
      <c r="B115" s="2" t="s">
        <v>60</v>
      </c>
      <c r="C115" s="90">
        <v>334878.98</v>
      </c>
      <c r="D115" s="90">
        <v>669757</v>
      </c>
      <c r="E115" s="90">
        <v>600665.90909090906</v>
      </c>
      <c r="F115" s="90">
        <v>360165.90909090906</v>
      </c>
      <c r="G115" s="90">
        <v>360165.90909090906</v>
      </c>
      <c r="H115" s="90">
        <v>360165.90909090906</v>
      </c>
      <c r="I115" s="90">
        <v>360165.90909090906</v>
      </c>
      <c r="J115"/>
      <c r="K115"/>
      <c r="L115" s="92">
        <v>360166</v>
      </c>
      <c r="M115" s="90">
        <v>360166</v>
      </c>
      <c r="N115"/>
      <c r="O115" s="202"/>
      <c r="P115" s="193"/>
      <c r="Q115" s="164"/>
      <c r="R115" s="92">
        <v>360166</v>
      </c>
      <c r="S115" s="87"/>
      <c r="T115" s="164">
        <v>168400</v>
      </c>
      <c r="U115" s="164">
        <v>168400</v>
      </c>
      <c r="V115"/>
      <c r="W115" s="202"/>
      <c r="X115" s="164">
        <v>84200</v>
      </c>
      <c r="Y115" s="164"/>
      <c r="Z115" s="164"/>
      <c r="AA115" s="164"/>
      <c r="AB115" s="164"/>
      <c r="AC115" s="164"/>
      <c r="AD115" s="164"/>
      <c r="AE115" s="34"/>
      <c r="AH115" s="169"/>
    </row>
    <row r="116" spans="2:34" ht="12" hidden="1" customHeight="1" x14ac:dyDescent="0.3">
      <c r="D116" s="203"/>
      <c r="F116"/>
      <c r="G116"/>
      <c r="H116"/>
      <c r="I116"/>
      <c r="J116"/>
      <c r="K116"/>
      <c r="L116" s="71"/>
      <c r="M116" s="204"/>
      <c r="N116"/>
      <c r="O116" s="202"/>
      <c r="P116" s="193"/>
      <c r="Q116" s="164"/>
      <c r="R116" s="71"/>
      <c r="S116"/>
      <c r="T116" s="164"/>
      <c r="U116" s="164"/>
      <c r="V116"/>
      <c r="W116" s="202"/>
      <c r="X116" s="164"/>
      <c r="Y116" s="164"/>
      <c r="Z116" s="164"/>
      <c r="AA116" s="164"/>
      <c r="AB116" s="164"/>
      <c r="AC116" s="164"/>
      <c r="AD116" s="164"/>
      <c r="AE116" s="34"/>
      <c r="AH116" s="169"/>
    </row>
    <row r="117" spans="2:34" ht="12" hidden="1" customHeight="1" x14ac:dyDescent="0.3">
      <c r="D117" s="204"/>
      <c r="F117" s="181">
        <f>+F97-F115</f>
        <v>408875.00000000105</v>
      </c>
      <c r="G117" s="181">
        <f>+G97-G115</f>
        <v>-1058302.9999999991</v>
      </c>
      <c r="H117" s="181">
        <f>+H97-H115</f>
        <v>31587.090909090941</v>
      </c>
      <c r="I117" s="181">
        <f>+I97-I115</f>
        <v>-1693795.9090909092</v>
      </c>
      <c r="J117"/>
      <c r="K117"/>
      <c r="L117" s="205">
        <f>+L97-L115</f>
        <v>-281413</v>
      </c>
      <c r="M117" s="206">
        <f>+M97-M115</f>
        <v>-227071</v>
      </c>
      <c r="N117" s="207"/>
      <c r="O117" s="208"/>
      <c r="P117" s="193"/>
      <c r="Q117" s="164"/>
      <c r="R117" s="205">
        <f>+R97-R115</f>
        <v>-2247983</v>
      </c>
      <c r="S117" s="206"/>
      <c r="T117" s="209"/>
      <c r="U117" s="209"/>
      <c r="V117" s="207"/>
      <c r="W117" s="208"/>
      <c r="X117" s="209"/>
      <c r="Y117" s="164"/>
      <c r="Z117" s="164"/>
      <c r="AA117" s="164"/>
      <c r="AB117" s="164"/>
      <c r="AC117" s="164"/>
      <c r="AD117" s="164"/>
      <c r="AE117" s="34"/>
      <c r="AH117" s="169"/>
    </row>
    <row r="118" spans="2:34" ht="12" hidden="1" customHeight="1" x14ac:dyDescent="0.3">
      <c r="D118" s="204"/>
      <c r="G118" s="82"/>
      <c r="I118"/>
      <c r="J118"/>
      <c r="K118"/>
      <c r="L118"/>
      <c r="M118"/>
      <c r="N118"/>
      <c r="O118"/>
      <c r="P118" s="193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34"/>
      <c r="AF118" s="169"/>
    </row>
    <row r="119" spans="2:34" ht="12" hidden="1" customHeight="1" x14ac:dyDescent="0.3">
      <c r="D119" s="204"/>
      <c r="G119" s="210"/>
      <c r="I119"/>
      <c r="J119"/>
      <c r="K119"/>
      <c r="L119"/>
      <c r="M119"/>
      <c r="N119"/>
      <c r="O119"/>
      <c r="P119" s="193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34"/>
      <c r="AF119" s="169"/>
    </row>
    <row r="120" spans="2:34" ht="12" hidden="1" customHeight="1" x14ac:dyDescent="0.3">
      <c r="G120" s="87"/>
      <c r="I120"/>
      <c r="J120"/>
      <c r="K120"/>
      <c r="L120"/>
      <c r="M120"/>
      <c r="N120"/>
      <c r="O120"/>
      <c r="P120" s="193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34"/>
      <c r="AF120" s="169"/>
    </row>
    <row r="121" spans="2:34" ht="12" hidden="1" customHeight="1" x14ac:dyDescent="0.3">
      <c r="I121"/>
      <c r="J121"/>
      <c r="K121"/>
      <c r="L121"/>
      <c r="M121"/>
      <c r="N121"/>
      <c r="O121"/>
      <c r="P121" s="193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34"/>
      <c r="AF121" s="169"/>
    </row>
    <row r="122" spans="2:34" ht="12" hidden="1" customHeight="1" x14ac:dyDescent="0.3">
      <c r="G122" s="87"/>
      <c r="I122"/>
      <c r="J122"/>
      <c r="K122"/>
      <c r="L122"/>
      <c r="M122"/>
      <c r="N122"/>
      <c r="O122"/>
      <c r="P122" s="166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34"/>
    </row>
    <row r="123" spans="2:34" ht="12" hidden="1" customHeight="1" x14ac:dyDescent="0.3">
      <c r="E123" s="87"/>
      <c r="F123" s="87"/>
      <c r="I123"/>
      <c r="J123"/>
      <c r="K123"/>
      <c r="L123"/>
      <c r="M123"/>
      <c r="N123"/>
      <c r="O123" s="22"/>
      <c r="P123" s="166"/>
      <c r="Q123" s="22"/>
      <c r="R123" s="22"/>
      <c r="S123" s="22"/>
      <c r="T123" s="211">
        <f>-T97</f>
        <v>9510002.6099999975</v>
      </c>
      <c r="U123" s="211">
        <f>-U97</f>
        <v>-1531007.2099999934</v>
      </c>
      <c r="V123" s="211"/>
      <c r="W123" s="211"/>
      <c r="X123" s="211">
        <f>-X97</f>
        <v>-621723.41000000387</v>
      </c>
      <c r="Y123" s="22"/>
      <c r="Z123" s="22"/>
      <c r="AA123" s="34"/>
    </row>
    <row r="124" spans="2:34" ht="12" hidden="1" customHeight="1" x14ac:dyDescent="0.3">
      <c r="E124" s="87"/>
      <c r="F124" s="87"/>
      <c r="I124"/>
      <c r="J124"/>
      <c r="K124"/>
      <c r="L124"/>
      <c r="M124"/>
      <c r="N124"/>
      <c r="O124" s="22"/>
      <c r="P124" s="166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34"/>
    </row>
    <row r="125" spans="2:34" ht="12" hidden="1" customHeight="1" x14ac:dyDescent="0.3">
      <c r="E125" s="87"/>
      <c r="F125" s="87"/>
      <c r="I125"/>
      <c r="J125"/>
      <c r="K125"/>
      <c r="L125"/>
      <c r="M125"/>
      <c r="N125"/>
      <c r="O125" s="22"/>
      <c r="P125" s="166"/>
      <c r="Q125" s="22"/>
      <c r="R125" s="22"/>
      <c r="S125" s="22"/>
      <c r="T125" s="212">
        <f>T97+T123</f>
        <v>0</v>
      </c>
      <c r="U125" s="212">
        <f>U97+U123</f>
        <v>0</v>
      </c>
      <c r="V125" s="213"/>
      <c r="W125" s="213"/>
      <c r="X125" s="212">
        <f>X97+X123</f>
        <v>0</v>
      </c>
      <c r="Y125" s="213"/>
      <c r="Z125" s="214"/>
      <c r="AA125" s="34"/>
    </row>
    <row r="126" spans="2:34" ht="12" hidden="1" customHeight="1" x14ac:dyDescent="0.3">
      <c r="E126" s="87"/>
      <c r="F126" s="87"/>
      <c r="I126" s="215"/>
      <c r="J126" s="215"/>
      <c r="K126" s="216"/>
      <c r="L126" s="217"/>
      <c r="M126" s="217"/>
      <c r="N126" s="218"/>
      <c r="O126" s="165"/>
      <c r="P126" s="166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34"/>
    </row>
    <row r="127" spans="2:34" ht="12" hidden="1" customHeight="1" x14ac:dyDescent="0.3">
      <c r="E127" s="87"/>
      <c r="F127" s="87"/>
      <c r="G127" s="87"/>
      <c r="I127" s="215"/>
      <c r="J127" s="215"/>
      <c r="K127" s="216"/>
      <c r="L127" s="217"/>
      <c r="M127" s="217"/>
      <c r="N127" s="218"/>
      <c r="O127" s="165"/>
      <c r="P127" s="166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34"/>
    </row>
    <row r="128" spans="2:34" ht="12" hidden="1" customHeight="1" x14ac:dyDescent="0.3">
      <c r="E128" s="87"/>
      <c r="F128" s="87"/>
      <c r="G128" s="219"/>
      <c r="I128" s="215"/>
      <c r="J128" s="215"/>
      <c r="K128" s="216"/>
      <c r="L128" s="217"/>
      <c r="M128" s="217"/>
      <c r="N128" s="218"/>
      <c r="O128" s="165"/>
      <c r="P128" s="166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34"/>
    </row>
    <row r="129" spans="2:27" ht="12" hidden="1" customHeight="1" x14ac:dyDescent="0.3">
      <c r="E129" s="87"/>
      <c r="F129" s="87"/>
      <c r="I129" s="215"/>
      <c r="J129" s="215"/>
      <c r="K129" s="216"/>
      <c r="L129" s="217"/>
      <c r="M129" s="217"/>
      <c r="N129" s="218"/>
      <c r="O129" s="165"/>
      <c r="P129" s="166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34"/>
    </row>
    <row r="130" spans="2:27" ht="12" hidden="1" customHeight="1" x14ac:dyDescent="0.3">
      <c r="G130" s="87"/>
      <c r="I130" s="215"/>
      <c r="J130" s="215"/>
      <c r="K130" s="216"/>
      <c r="L130" s="217"/>
      <c r="M130" s="217"/>
      <c r="N130" s="218"/>
      <c r="O130" s="165"/>
      <c r="P130" s="166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34"/>
    </row>
    <row r="131" spans="2:27" ht="12" hidden="1" customHeight="1" x14ac:dyDescent="0.3">
      <c r="I131" s="215"/>
      <c r="J131" s="215"/>
      <c r="K131" s="216"/>
      <c r="L131" s="217"/>
      <c r="M131" s="217"/>
      <c r="N131" s="218"/>
      <c r="O131" s="165"/>
      <c r="P131" s="166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34"/>
    </row>
    <row r="132" spans="2:27" ht="12" hidden="1" customHeight="1" x14ac:dyDescent="0.3">
      <c r="I132" s="215"/>
      <c r="J132" s="215"/>
      <c r="K132" s="216"/>
      <c r="L132" s="217"/>
      <c r="M132" s="217"/>
      <c r="N132" s="218"/>
      <c r="O132" s="165"/>
      <c r="P132" s="166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34"/>
    </row>
    <row r="133" spans="2:27" ht="12" hidden="1" customHeight="1" x14ac:dyDescent="0.3">
      <c r="F133" s="87"/>
      <c r="G133" s="87"/>
      <c r="I133" s="215"/>
      <c r="J133" s="215"/>
      <c r="K133" s="216"/>
      <c r="L133" s="217"/>
      <c r="M133" s="217"/>
      <c r="N133" s="218"/>
      <c r="O133" s="165"/>
      <c r="P133" s="166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34"/>
    </row>
    <row r="134" spans="2:27" ht="12" hidden="1" customHeight="1" x14ac:dyDescent="0.3">
      <c r="F134" s="87"/>
      <c r="G134" s="219"/>
      <c r="I134" s="215"/>
      <c r="J134" s="215"/>
      <c r="K134" s="216"/>
      <c r="L134" s="217"/>
      <c r="M134" s="217"/>
      <c r="N134" s="218"/>
      <c r="O134" s="165"/>
      <c r="P134" s="166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34"/>
    </row>
    <row r="135" spans="2:27" ht="12" hidden="1" customHeight="1" x14ac:dyDescent="0.25">
      <c r="B135" s="2" t="s">
        <v>61</v>
      </c>
      <c r="C135" s="181">
        <v>-1182226.6499999999</v>
      </c>
      <c r="D135" s="181">
        <v>110877.62000000104</v>
      </c>
      <c r="E135" s="181">
        <v>606587.03000000224</v>
      </c>
      <c r="F135" s="181">
        <v>279375.00000000105</v>
      </c>
      <c r="G135" s="185">
        <v>-1067552.9999999991</v>
      </c>
      <c r="H135" s="181">
        <v>31586.090909090941</v>
      </c>
      <c r="I135" s="181">
        <v>-1693795.9090909092</v>
      </c>
      <c r="J135" s="181">
        <v>-1576148</v>
      </c>
      <c r="K135" s="220">
        <v>-281413</v>
      </c>
      <c r="L135" s="221">
        <v>0.19310408545447438</v>
      </c>
      <c r="M135" s="221"/>
      <c r="N135" s="184">
        <v>-227071</v>
      </c>
      <c r="O135" s="165"/>
      <c r="P135" s="166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34"/>
    </row>
    <row r="136" spans="2:27" ht="12" hidden="1" customHeight="1" x14ac:dyDescent="0.25">
      <c r="B136" s="2" t="s">
        <v>60</v>
      </c>
      <c r="C136" s="90">
        <v>334878.98</v>
      </c>
      <c r="D136" s="90">
        <v>669757</v>
      </c>
      <c r="E136" s="90">
        <v>600665.90909090906</v>
      </c>
      <c r="F136" s="90">
        <v>489665.90909090906</v>
      </c>
      <c r="G136" s="90">
        <v>369415.90909090906</v>
      </c>
      <c r="H136" s="90">
        <v>360165.90909090906</v>
      </c>
      <c r="I136" s="90">
        <f>H136</f>
        <v>360165.90909090906</v>
      </c>
      <c r="J136" s="90"/>
      <c r="K136" s="90">
        <v>360166</v>
      </c>
      <c r="L136" s="222">
        <v>360166</v>
      </c>
      <c r="M136" s="90"/>
      <c r="N136" s="179">
        <f>+L136-P136</f>
        <v>0</v>
      </c>
      <c r="O136" s="223">
        <f>+N136/L136</f>
        <v>0</v>
      </c>
      <c r="P136" s="93">
        <v>360166</v>
      </c>
      <c r="Q136" s="90">
        <v>264284.5</v>
      </c>
      <c r="R136" s="90"/>
      <c r="S136" s="90">
        <v>264284</v>
      </c>
      <c r="T136" s="90">
        <v>264283</v>
      </c>
      <c r="U136" s="90">
        <v>264283</v>
      </c>
      <c r="V136" s="90">
        <v>168400</v>
      </c>
      <c r="W136" s="90">
        <v>168400</v>
      </c>
      <c r="X136" s="90">
        <v>264283</v>
      </c>
      <c r="Y136" s="90">
        <v>84200</v>
      </c>
      <c r="Z136" s="90"/>
      <c r="AA136" s="34"/>
    </row>
    <row r="137" spans="2:27" ht="12" hidden="1" customHeight="1" x14ac:dyDescent="0.3">
      <c r="D137" s="203"/>
      <c r="G137" s="224"/>
      <c r="I137" s="204"/>
      <c r="J137" s="204"/>
      <c r="K137" s="204"/>
      <c r="L137" s="216"/>
      <c r="M137" s="204"/>
      <c r="N137" s="217"/>
      <c r="O137" s="217"/>
      <c r="P137" s="218"/>
      <c r="Q137" s="204"/>
      <c r="R137" s="204"/>
      <c r="S137" s="204"/>
      <c r="T137" s="204"/>
      <c r="U137" s="204"/>
      <c r="V137" s="79"/>
      <c r="W137" s="79"/>
      <c r="X137" s="204"/>
      <c r="Y137" s="79"/>
      <c r="Z137" s="79"/>
      <c r="AA137" s="34"/>
    </row>
    <row r="138" spans="2:27" ht="12" hidden="1" customHeight="1" x14ac:dyDescent="0.3">
      <c r="D138" s="204"/>
      <c r="G138" s="210"/>
      <c r="I138" s="215"/>
      <c r="J138" s="215"/>
      <c r="K138" s="215"/>
      <c r="L138" s="216"/>
      <c r="M138" s="204"/>
      <c r="N138" s="217"/>
      <c r="O138" s="217"/>
      <c r="P138" s="218"/>
      <c r="Q138" s="204"/>
      <c r="R138" s="204"/>
      <c r="S138" s="204"/>
      <c r="T138" s="204"/>
      <c r="U138" s="204"/>
      <c r="W138" s="120"/>
      <c r="X138" s="204"/>
      <c r="Y138" s="120"/>
      <c r="Z138" s="120"/>
      <c r="AA138" s="34"/>
    </row>
    <row r="139" spans="2:27" ht="12" hidden="1" customHeight="1" x14ac:dyDescent="0.3">
      <c r="D139" s="204"/>
      <c r="G139" s="82"/>
      <c r="I139" s="215"/>
      <c r="J139" s="215"/>
      <c r="K139" s="215"/>
      <c r="L139" s="216"/>
      <c r="M139" s="204"/>
      <c r="N139" s="217"/>
      <c r="O139" s="217"/>
      <c r="P139" s="218"/>
      <c r="Q139" s="204"/>
      <c r="R139" s="204"/>
      <c r="S139" s="204"/>
      <c r="T139" s="204"/>
      <c r="U139" s="204"/>
      <c r="V139" s="82"/>
      <c r="W139" s="225"/>
      <c r="X139" s="204"/>
      <c r="Y139" s="225"/>
      <c r="Z139" s="225"/>
      <c r="AA139" s="34"/>
    </row>
    <row r="140" spans="2:27" ht="12" hidden="1" customHeight="1" x14ac:dyDescent="0.3">
      <c r="D140" s="204"/>
      <c r="G140" s="210"/>
      <c r="I140" s="215"/>
      <c r="J140" s="215"/>
      <c r="K140" s="215"/>
      <c r="L140" s="216"/>
      <c r="M140" s="204"/>
      <c r="N140" s="217"/>
      <c r="O140" s="217"/>
      <c r="P140" s="218"/>
      <c r="Q140" s="204"/>
      <c r="R140" s="204"/>
      <c r="S140" s="204"/>
      <c r="T140" s="204"/>
      <c r="U140" s="204"/>
      <c r="W140" s="120"/>
      <c r="X140" s="204"/>
      <c r="Y140" s="120"/>
      <c r="Z140" s="120"/>
      <c r="AA140" s="34"/>
    </row>
    <row r="141" spans="2:27" ht="12" hidden="1" customHeight="1" x14ac:dyDescent="0.3">
      <c r="G141" s="87"/>
      <c r="I141" s="215"/>
      <c r="J141" s="215"/>
      <c r="K141" s="215"/>
      <c r="L141" s="216"/>
      <c r="M141" s="204"/>
      <c r="N141" s="217"/>
      <c r="O141" s="217"/>
      <c r="P141" s="218"/>
      <c r="Q141" s="204"/>
      <c r="R141" s="204"/>
      <c r="S141" s="204"/>
      <c r="T141" s="204"/>
      <c r="U141" s="204"/>
      <c r="W141" s="120"/>
      <c r="X141" s="204"/>
      <c r="Y141" s="120"/>
      <c r="Z141" s="120"/>
      <c r="AA141" s="34"/>
    </row>
    <row r="142" spans="2:27" ht="12" hidden="1" customHeight="1" x14ac:dyDescent="0.3">
      <c r="I142" s="215"/>
      <c r="J142" s="215"/>
      <c r="K142" s="215"/>
      <c r="L142" s="216"/>
      <c r="M142" s="204"/>
      <c r="N142" s="217"/>
      <c r="O142" s="217"/>
      <c r="P142" s="218"/>
      <c r="Q142" s="204"/>
      <c r="R142" s="204"/>
      <c r="S142" s="204"/>
      <c r="T142" s="204"/>
      <c r="U142" s="204"/>
      <c r="W142" s="120"/>
      <c r="X142" s="204"/>
      <c r="Y142" s="120"/>
      <c r="Z142" s="120"/>
      <c r="AA142" s="34"/>
    </row>
    <row r="143" spans="2:27" ht="12" hidden="1" customHeight="1" x14ac:dyDescent="0.3">
      <c r="G143" s="87"/>
      <c r="I143" s="215"/>
      <c r="J143" s="215"/>
      <c r="K143" s="215"/>
      <c r="L143" s="216"/>
      <c r="M143" s="204"/>
      <c r="N143" s="217"/>
      <c r="O143" s="217"/>
      <c r="P143" s="218"/>
      <c r="Q143" s="204"/>
      <c r="R143" s="204"/>
      <c r="S143" s="204"/>
      <c r="T143" s="204"/>
      <c r="U143" s="204"/>
      <c r="W143" s="120"/>
      <c r="X143" s="204"/>
      <c r="Y143" s="120"/>
      <c r="Z143" s="120"/>
      <c r="AA143" s="34"/>
    </row>
    <row r="144" spans="2:27" ht="12" hidden="1" customHeight="1" x14ac:dyDescent="0.3">
      <c r="E144" s="87"/>
      <c r="F144" s="87"/>
      <c r="I144" s="215"/>
      <c r="J144" s="215"/>
      <c r="K144" s="215"/>
      <c r="L144" s="216"/>
      <c r="M144" s="204"/>
      <c r="N144" s="217"/>
      <c r="O144" s="217"/>
      <c r="P144" s="218"/>
      <c r="Q144" s="204"/>
      <c r="R144" s="204"/>
      <c r="S144" s="204"/>
      <c r="T144" s="204"/>
      <c r="U144" s="204"/>
      <c r="W144" s="120"/>
      <c r="X144" s="204"/>
      <c r="Y144" s="120"/>
      <c r="Z144" s="120"/>
      <c r="AA144" s="34"/>
    </row>
    <row r="145" spans="2:30" ht="12" hidden="1" customHeight="1" x14ac:dyDescent="0.3">
      <c r="E145" s="87"/>
      <c r="F145" s="87"/>
      <c r="I145" s="215"/>
      <c r="J145" s="215"/>
      <c r="K145" s="215"/>
      <c r="L145" s="216"/>
      <c r="M145" s="204"/>
      <c r="N145" s="217"/>
      <c r="O145" s="217"/>
      <c r="P145" s="218"/>
      <c r="Q145" s="204"/>
      <c r="R145" s="204"/>
      <c r="S145" s="204"/>
      <c r="T145" s="204"/>
      <c r="U145" s="204"/>
      <c r="W145" s="120"/>
      <c r="X145" s="204"/>
      <c r="Y145" s="120"/>
      <c r="Z145" s="120"/>
      <c r="AA145" s="34"/>
    </row>
    <row r="146" spans="2:30" ht="12" hidden="1" customHeight="1" x14ac:dyDescent="0.3">
      <c r="E146" s="87"/>
      <c r="F146" s="87"/>
      <c r="I146" s="215"/>
      <c r="J146" s="215"/>
      <c r="K146" s="215"/>
      <c r="L146" s="216"/>
      <c r="M146" s="204"/>
      <c r="N146" s="217"/>
      <c r="O146" s="217"/>
      <c r="P146" s="218"/>
      <c r="Q146" s="204"/>
      <c r="R146" s="204"/>
      <c r="S146" s="204"/>
      <c r="T146" s="204"/>
      <c r="U146" s="204"/>
      <c r="V146" s="87"/>
      <c r="W146" s="104"/>
      <c r="X146" s="204"/>
      <c r="Y146" s="104"/>
      <c r="Z146" s="104"/>
      <c r="AA146" s="34"/>
    </row>
    <row r="147" spans="2:30" ht="12" hidden="1" customHeight="1" x14ac:dyDescent="0.3">
      <c r="E147" s="87"/>
      <c r="F147" s="87"/>
      <c r="I147" s="215"/>
      <c r="J147" s="215"/>
      <c r="K147" s="215"/>
      <c r="L147" s="216"/>
      <c r="M147" s="204"/>
      <c r="N147" s="217"/>
      <c r="O147" s="217"/>
      <c r="P147" s="218"/>
      <c r="Q147" s="204"/>
      <c r="R147" s="204"/>
      <c r="S147" s="204"/>
      <c r="T147" s="204"/>
      <c r="U147" s="204"/>
      <c r="W147" s="120"/>
      <c r="X147" s="204"/>
      <c r="Y147" s="120"/>
      <c r="Z147" s="120"/>
      <c r="AA147" s="34"/>
    </row>
    <row r="148" spans="2:30" ht="12" hidden="1" customHeight="1" x14ac:dyDescent="0.3">
      <c r="E148" s="87"/>
      <c r="F148" s="87"/>
      <c r="G148" s="87"/>
      <c r="I148" s="215"/>
      <c r="J148" s="215"/>
      <c r="K148" s="215"/>
      <c r="L148" s="216"/>
      <c r="M148" s="204"/>
      <c r="N148" s="217"/>
      <c r="O148" s="217"/>
      <c r="P148" s="218"/>
      <c r="Q148" s="204"/>
      <c r="R148" s="204"/>
      <c r="S148" s="204"/>
      <c r="T148" s="204"/>
      <c r="U148" s="204"/>
      <c r="W148" s="120"/>
      <c r="X148" s="204"/>
      <c r="Y148" s="120"/>
      <c r="Z148" s="120"/>
      <c r="AA148" s="34"/>
    </row>
    <row r="149" spans="2:30" ht="15" hidden="1" customHeight="1" x14ac:dyDescent="0.3">
      <c r="E149" s="87"/>
      <c r="F149" s="87"/>
      <c r="G149" s="219"/>
      <c r="I149" s="215"/>
      <c r="J149" s="215"/>
      <c r="K149" s="215"/>
      <c r="L149" s="216"/>
      <c r="M149" s="204"/>
      <c r="N149" s="217"/>
      <c r="O149" s="217"/>
      <c r="P149" s="218"/>
      <c r="Q149" s="204"/>
      <c r="R149" s="204"/>
      <c r="S149" s="204"/>
      <c r="T149" s="204"/>
      <c r="U149" s="204"/>
      <c r="W149" s="120"/>
      <c r="X149" s="204"/>
      <c r="Y149" s="120"/>
      <c r="Z149" s="120"/>
      <c r="AA149" s="34"/>
    </row>
    <row r="150" spans="2:30" ht="15" hidden="1" customHeight="1" x14ac:dyDescent="0.3">
      <c r="E150" s="87"/>
      <c r="F150" s="87"/>
      <c r="I150" s="215"/>
      <c r="J150" s="215"/>
      <c r="K150" s="215"/>
      <c r="L150" s="216"/>
      <c r="M150" s="204"/>
      <c r="N150" s="217"/>
      <c r="O150" s="217"/>
      <c r="P150" s="218"/>
      <c r="Q150" s="204"/>
      <c r="R150" s="204"/>
      <c r="S150" s="204"/>
      <c r="T150" s="204"/>
      <c r="U150" s="204"/>
      <c r="W150" s="120"/>
      <c r="X150" s="204"/>
      <c r="Y150" s="120"/>
      <c r="Z150" s="120"/>
      <c r="AA150" s="34"/>
    </row>
    <row r="151" spans="2:30" ht="15" hidden="1" customHeight="1" x14ac:dyDescent="0.3">
      <c r="G151" s="87"/>
      <c r="I151" s="215"/>
      <c r="J151" s="215"/>
      <c r="K151" s="215"/>
      <c r="L151" s="216"/>
      <c r="M151" s="204"/>
      <c r="N151" s="217"/>
      <c r="O151" s="217"/>
      <c r="P151" s="218"/>
      <c r="Q151" s="204"/>
      <c r="R151" s="204"/>
      <c r="S151" s="204"/>
      <c r="T151" s="204"/>
      <c r="U151" s="204"/>
      <c r="W151" s="120"/>
      <c r="X151" s="204"/>
      <c r="Y151" s="120"/>
      <c r="Z151" s="120"/>
      <c r="AA151" s="34"/>
    </row>
    <row r="152" spans="2:30" ht="15" hidden="1" customHeight="1" x14ac:dyDescent="0.3">
      <c r="I152" s="215"/>
      <c r="J152" s="215"/>
      <c r="K152" s="215"/>
      <c r="L152" s="216"/>
      <c r="M152" s="204"/>
      <c r="N152" s="217"/>
      <c r="O152" s="217"/>
      <c r="P152" s="218"/>
      <c r="Q152" s="204"/>
      <c r="R152" s="204"/>
      <c r="S152" s="204"/>
      <c r="T152" s="204"/>
      <c r="U152" s="204"/>
      <c r="W152" s="120"/>
      <c r="X152" s="204"/>
      <c r="Y152" s="120"/>
      <c r="Z152" s="120"/>
      <c r="AA152" s="34"/>
    </row>
    <row r="153" spans="2:30" ht="15" hidden="1" customHeight="1" x14ac:dyDescent="0.3">
      <c r="I153" s="215"/>
      <c r="J153" s="215"/>
      <c r="K153" s="215"/>
      <c r="L153" s="216"/>
      <c r="M153" s="204"/>
      <c r="N153" s="217"/>
      <c r="O153" s="217"/>
      <c r="P153" s="218"/>
      <c r="Q153" s="204"/>
      <c r="R153" s="204"/>
      <c r="S153" s="204"/>
      <c r="T153" s="204"/>
      <c r="U153" s="204"/>
      <c r="W153" s="120"/>
      <c r="X153" s="204"/>
      <c r="Y153" s="120"/>
      <c r="Z153" s="120"/>
      <c r="AA153" s="34"/>
    </row>
    <row r="154" spans="2:30" ht="15" hidden="1" customHeight="1" x14ac:dyDescent="0.3">
      <c r="F154" s="87"/>
      <c r="G154" s="87"/>
      <c r="I154" s="215"/>
      <c r="J154" s="215"/>
      <c r="K154" s="215"/>
      <c r="L154" s="216"/>
      <c r="M154" s="204"/>
      <c r="N154" s="217"/>
      <c r="O154" s="217"/>
      <c r="P154" s="218"/>
      <c r="Q154" s="204"/>
      <c r="R154" s="204"/>
      <c r="S154" s="204"/>
      <c r="T154" s="204"/>
      <c r="U154" s="204"/>
      <c r="W154" s="120"/>
      <c r="X154" s="204"/>
      <c r="Y154" s="120"/>
      <c r="Z154" s="120"/>
      <c r="AA154" s="34"/>
    </row>
    <row r="155" spans="2:30" ht="15" hidden="1" customHeight="1" x14ac:dyDescent="0.3">
      <c r="F155" s="87"/>
      <c r="G155" s="219"/>
      <c r="I155" s="215"/>
      <c r="J155" s="215"/>
      <c r="K155" s="215"/>
      <c r="L155" s="216"/>
      <c r="M155" s="204"/>
      <c r="N155" s="217"/>
      <c r="O155" s="217"/>
      <c r="P155" s="218"/>
      <c r="Q155" s="204"/>
      <c r="R155" s="204"/>
      <c r="S155" s="204"/>
      <c r="T155" s="204"/>
      <c r="U155" s="204"/>
      <c r="W155" s="120"/>
      <c r="X155" s="204"/>
      <c r="Y155" s="120"/>
      <c r="Z155" s="120"/>
      <c r="AA155" s="34"/>
    </row>
    <row r="156" spans="2:30" ht="13.8" hidden="1" thickBot="1" x14ac:dyDescent="0.3">
      <c r="B156" s="2" t="s">
        <v>61</v>
      </c>
      <c r="C156" s="181">
        <f t="shared" ref="C156:I156" si="25">C97-C136</f>
        <v>-1182226.6499999999</v>
      </c>
      <c r="D156" s="181">
        <f t="shared" si="25"/>
        <v>110877.62000000104</v>
      </c>
      <c r="E156" s="181">
        <f t="shared" si="25"/>
        <v>606587.03000000224</v>
      </c>
      <c r="F156" s="181">
        <f t="shared" si="25"/>
        <v>279375.00000000105</v>
      </c>
      <c r="G156" s="185">
        <f t="shared" si="25"/>
        <v>-1067552.9999999991</v>
      </c>
      <c r="H156" s="181">
        <f t="shared" si="25"/>
        <v>31587.090909090941</v>
      </c>
      <c r="I156" s="181">
        <f t="shared" si="25"/>
        <v>-1693795.9090909092</v>
      </c>
      <c r="J156" s="181"/>
      <c r="K156" s="181">
        <f>K97-K136</f>
        <v>-1236699</v>
      </c>
      <c r="L156" s="220">
        <f>L97-L136</f>
        <v>-281413</v>
      </c>
      <c r="M156" s="181"/>
      <c r="N156" s="188">
        <f>N97-N136</f>
        <v>54342</v>
      </c>
      <c r="O156" s="221">
        <f>-N156/L156</f>
        <v>0.19310408545447438</v>
      </c>
      <c r="P156" s="184">
        <f>P97-P136</f>
        <v>-227071</v>
      </c>
      <c r="Q156" s="181">
        <v>-116417.28799999878</v>
      </c>
      <c r="R156" s="181"/>
      <c r="S156" s="181"/>
      <c r="T156" s="181">
        <f>T97-T136</f>
        <v>-9774285.6099999975</v>
      </c>
      <c r="U156" s="181">
        <f>U97-U136</f>
        <v>1266724.2099999934</v>
      </c>
      <c r="V156" s="181">
        <f>Y97-V136</f>
        <v>-1106833.1750000007</v>
      </c>
      <c r="W156" s="181">
        <f>Z97-W136</f>
        <v>-562013.35072524101</v>
      </c>
      <c r="X156" s="181">
        <f>X97-X136</f>
        <v>357440.41000000387</v>
      </c>
      <c r="Y156" s="181">
        <f>AA97-Y136</f>
        <v>-335040.14191365615</v>
      </c>
      <c r="Z156" s="181"/>
      <c r="AA156" s="34"/>
      <c r="AD156" s="164"/>
    </row>
    <row r="157" spans="2:30" hidden="1" x14ac:dyDescent="0.25">
      <c r="G157" s="87"/>
      <c r="H157" s="87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X157" s="164"/>
      <c r="AA157" s="34"/>
    </row>
    <row r="158" spans="2:30" ht="14.4" hidden="1" x14ac:dyDescent="0.3">
      <c r="I158" s="54"/>
      <c r="J158" s="54"/>
      <c r="K158" s="54"/>
      <c r="L158" s="226"/>
      <c r="M158" s="226"/>
      <c r="N158" s="226"/>
      <c r="O158" s="226"/>
      <c r="P158" s="226"/>
      <c r="Q158" s="226"/>
      <c r="R158" s="226"/>
      <c r="S158" s="226"/>
      <c r="T158" s="204"/>
      <c r="U158" s="204"/>
      <c r="V158" s="54"/>
      <c r="W158" s="54"/>
      <c r="X158" s="204"/>
      <c r="Y158" s="54"/>
      <c r="Z158" s="54"/>
      <c r="AA158" s="34"/>
    </row>
    <row r="159" spans="2:30" ht="14.4" hidden="1" x14ac:dyDescent="0.3">
      <c r="F159" s="87"/>
      <c r="G159" s="87"/>
      <c r="I159" s="87"/>
      <c r="J159" s="87"/>
      <c r="K159" s="87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54"/>
      <c r="X159" s="204"/>
      <c r="Y159" s="54"/>
      <c r="Z159" s="54"/>
      <c r="AA159" s="34"/>
    </row>
    <row r="160" spans="2:30" ht="14.4" hidden="1" x14ac:dyDescent="0.3">
      <c r="B160" s="2" t="s">
        <v>62</v>
      </c>
      <c r="I160" s="227"/>
      <c r="J160" s="227"/>
      <c r="K160" s="227"/>
      <c r="L160" s="204"/>
      <c r="M160" s="204"/>
      <c r="N160" s="204"/>
      <c r="O160" s="204"/>
      <c r="P160" s="204"/>
      <c r="Q160" s="204"/>
      <c r="R160" s="204"/>
      <c r="S160" s="204"/>
      <c r="T160" s="228"/>
      <c r="U160" s="228"/>
      <c r="V160" s="204"/>
      <c r="W160" s="54"/>
      <c r="X160" s="228"/>
      <c r="Y160" s="54"/>
      <c r="Z160" s="54"/>
      <c r="AA160" s="34"/>
    </row>
    <row r="161" spans="2:30" ht="14.4" x14ac:dyDescent="0.3">
      <c r="G161" s="16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27"/>
      <c r="V161" s="204"/>
      <c r="W161" s="54"/>
      <c r="X161" s="227"/>
      <c r="Y161" s="273"/>
      <c r="Z161" s="273"/>
      <c r="AA161" s="227"/>
      <c r="AB161" s="204"/>
      <c r="AC161" s="204"/>
      <c r="AD161" s="204"/>
    </row>
    <row r="162" spans="2:30" ht="14.4" x14ac:dyDescent="0.3">
      <c r="B162"/>
      <c r="G162" s="87"/>
      <c r="I162" s="204"/>
      <c r="J162" s="204"/>
      <c r="K162" s="227"/>
      <c r="L162" s="227"/>
      <c r="M162" s="227"/>
      <c r="N162" s="229"/>
      <c r="O162" s="229"/>
      <c r="P162" s="229"/>
      <c r="Q162" s="229"/>
      <c r="R162" s="229"/>
      <c r="S162" s="229"/>
      <c r="T162"/>
      <c r="U162" s="227" t="s">
        <v>2</v>
      </c>
      <c r="V162" s="204"/>
      <c r="W162" s="54"/>
      <c r="X162" s="227" t="s">
        <v>2</v>
      </c>
      <c r="Z162" s="54"/>
      <c r="AA162" s="204"/>
      <c r="AB162" s="204"/>
      <c r="AC162" s="204"/>
      <c r="AD162" s="204"/>
    </row>
    <row r="163" spans="2:30" ht="14.4" hidden="1" x14ac:dyDescent="0.3">
      <c r="I163" s="204"/>
      <c r="J163" s="204"/>
      <c r="K163" s="227"/>
      <c r="L163" s="204"/>
      <c r="M163" s="204"/>
      <c r="N163" s="204"/>
      <c r="O163" s="204"/>
      <c r="P163" s="204"/>
      <c r="Q163" s="204"/>
      <c r="R163" s="204"/>
      <c r="S163" s="204"/>
      <c r="T163" s="204"/>
      <c r="U163"/>
      <c r="V163" s="204"/>
      <c r="W163" s="54"/>
      <c r="X163"/>
      <c r="Y163"/>
      <c r="Z163" s="54"/>
      <c r="AA163" s="204"/>
      <c r="AB163" s="204"/>
      <c r="AC163" s="204"/>
      <c r="AD163" s="204"/>
    </row>
    <row r="164" spans="2:30" ht="15.6" hidden="1" x14ac:dyDescent="0.3">
      <c r="B164" s="13" t="s">
        <v>63</v>
      </c>
      <c r="C164" s="13"/>
      <c r="D164" s="230">
        <v>0.03</v>
      </c>
      <c r="G164" s="16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/>
      <c r="V164" s="204"/>
      <c r="W164" s="54"/>
      <c r="X164"/>
      <c r="Y164"/>
      <c r="Z164" s="54"/>
      <c r="AA164" s="204"/>
      <c r="AB164" s="204"/>
      <c r="AC164" s="204"/>
      <c r="AD164" s="204"/>
    </row>
    <row r="165" spans="2:30" ht="14.4" hidden="1" x14ac:dyDescent="0.3">
      <c r="G165" s="231"/>
      <c r="H165" s="231"/>
      <c r="I165" s="204"/>
      <c r="J165" s="204"/>
      <c r="K165" s="232"/>
      <c r="L165" s="232"/>
      <c r="M165" s="232"/>
      <c r="N165" s="204"/>
      <c r="O165" s="204"/>
      <c r="P165" s="204"/>
      <c r="Q165" s="204"/>
      <c r="R165" s="204"/>
      <c r="S165" s="204"/>
      <c r="T165" s="204"/>
      <c r="U165"/>
      <c r="V165" s="204"/>
      <c r="W165" s="54"/>
      <c r="X165"/>
      <c r="Y165"/>
      <c r="Z165" s="54"/>
      <c r="AA165" s="87"/>
      <c r="AB165" s="87"/>
      <c r="AC165" s="87"/>
    </row>
    <row r="166" spans="2:30" ht="14.4" x14ac:dyDescent="0.3">
      <c r="I166"/>
      <c r="J166"/>
      <c r="K166"/>
      <c r="L166" s="232"/>
      <c r="M166" s="232"/>
      <c r="N166" s="204"/>
      <c r="O166" s="204"/>
      <c r="P166" s="204"/>
      <c r="Q166" s="204"/>
      <c r="R166" s="204"/>
      <c r="S166" s="204"/>
      <c r="T166" s="204"/>
      <c r="U166"/>
      <c r="V166" s="204"/>
      <c r="X166"/>
      <c r="Y166"/>
    </row>
    <row r="167" spans="2:30" ht="14.4" x14ac:dyDescent="0.3">
      <c r="I167"/>
      <c r="J167"/>
      <c r="K167"/>
      <c r="L167"/>
      <c r="M167"/>
      <c r="N167"/>
      <c r="O167"/>
      <c r="P167"/>
      <c r="Q167"/>
      <c r="R167"/>
      <c r="S167"/>
      <c r="T167"/>
      <c r="U167"/>
      <c r="V167" s="204"/>
      <c r="W167" s="54"/>
      <c r="X167"/>
      <c r="Y167"/>
      <c r="Z167" s="54"/>
    </row>
    <row r="168" spans="2:30" ht="14.4" x14ac:dyDescent="0.3">
      <c r="B168" s="168" t="s">
        <v>178</v>
      </c>
      <c r="I168" s="204"/>
      <c r="J168" s="204"/>
      <c r="K168"/>
      <c r="L168"/>
      <c r="M168"/>
      <c r="N168"/>
      <c r="O168"/>
      <c r="P168"/>
      <c r="Q168"/>
      <c r="R168"/>
      <c r="S168"/>
      <c r="T168"/>
      <c r="U168"/>
      <c r="V168" s="204"/>
      <c r="W168" s="54"/>
      <c r="X168"/>
      <c r="Y168"/>
      <c r="Z168" s="54"/>
    </row>
    <row r="169" spans="2:30" ht="14.4" x14ac:dyDescent="0.3">
      <c r="I169" s="204"/>
      <c r="J169" s="204"/>
      <c r="K169"/>
      <c r="L169"/>
      <c r="M169"/>
      <c r="N169"/>
      <c r="O169"/>
      <c r="P169"/>
      <c r="Q169"/>
      <c r="R169"/>
      <c r="S169"/>
      <c r="T169"/>
      <c r="U169"/>
      <c r="V169" s="204"/>
      <c r="W169" s="54"/>
      <c r="X169"/>
      <c r="Y169"/>
      <c r="Z169" s="54"/>
    </row>
    <row r="170" spans="2:30" ht="14.4" x14ac:dyDescent="0.3">
      <c r="B170" s="168" t="s">
        <v>179</v>
      </c>
      <c r="I170" s="204"/>
      <c r="J170" s="204"/>
      <c r="K170"/>
      <c r="L170"/>
      <c r="M170"/>
      <c r="N170"/>
      <c r="O170"/>
      <c r="P170"/>
      <c r="Q170"/>
      <c r="R170"/>
      <c r="S170"/>
      <c r="T170"/>
      <c r="U170"/>
      <c r="V170" s="204"/>
      <c r="X170"/>
      <c r="Y170"/>
    </row>
    <row r="171" spans="2:30" ht="14.4" x14ac:dyDescent="0.3">
      <c r="I171" s="204"/>
      <c r="J171" s="204"/>
      <c r="K171"/>
      <c r="L171"/>
      <c r="M171"/>
      <c r="N171"/>
      <c r="O171"/>
      <c r="P171"/>
      <c r="Q171"/>
      <c r="R171"/>
      <c r="S171"/>
      <c r="T171"/>
      <c r="U171"/>
      <c r="V171" s="204"/>
      <c r="W171" s="54"/>
      <c r="X171"/>
      <c r="Y171"/>
      <c r="Z171" s="54"/>
    </row>
    <row r="172" spans="2:30" ht="14.4" x14ac:dyDescent="0.3">
      <c r="I172" s="227"/>
      <c r="J172" s="204"/>
      <c r="K172"/>
      <c r="L172"/>
      <c r="M172"/>
      <c r="N172"/>
      <c r="O172"/>
      <c r="P172"/>
      <c r="Q172"/>
      <c r="R172"/>
      <c r="S172"/>
      <c r="T172"/>
      <c r="U172"/>
      <c r="V172" s="204"/>
      <c r="X172"/>
      <c r="Y172"/>
    </row>
    <row r="173" spans="2:30" ht="14.4" x14ac:dyDescent="0.3">
      <c r="I173" s="204"/>
      <c r="J173" s="204"/>
      <c r="K173"/>
      <c r="L173"/>
      <c r="M173"/>
      <c r="N173"/>
      <c r="O173"/>
      <c r="P173"/>
      <c r="Q173"/>
      <c r="R173"/>
      <c r="S173"/>
      <c r="T173"/>
      <c r="U173"/>
      <c r="V173" s="204"/>
      <c r="W173" s="54"/>
      <c r="X173"/>
      <c r="Y173"/>
      <c r="Z173" s="54"/>
      <c r="AA173" s="54"/>
      <c r="AB173" s="54"/>
      <c r="AC173" s="54"/>
    </row>
    <row r="174" spans="2:30" ht="14.4" x14ac:dyDescent="0.3">
      <c r="I174" s="204"/>
      <c r="J174" s="204"/>
      <c r="K174"/>
      <c r="L174"/>
      <c r="M174"/>
      <c r="N174"/>
      <c r="O174"/>
      <c r="P174"/>
      <c r="Q174"/>
      <c r="R174"/>
      <c r="S174"/>
      <c r="T174"/>
      <c r="U174"/>
      <c r="V174" s="204"/>
      <c r="X174"/>
      <c r="Y174"/>
    </row>
    <row r="175" spans="2:30" ht="14.4" x14ac:dyDescent="0.3">
      <c r="I175" s="204"/>
      <c r="J175" s="204"/>
      <c r="K175"/>
      <c r="L175"/>
      <c r="M175"/>
      <c r="N175"/>
      <c r="O175"/>
      <c r="P175"/>
      <c r="Q175"/>
      <c r="R175"/>
      <c r="S175"/>
      <c r="T175"/>
      <c r="U175"/>
      <c r="V175" s="204"/>
      <c r="X175"/>
      <c r="Y175"/>
    </row>
    <row r="176" spans="2:30" ht="14.4" x14ac:dyDescent="0.3">
      <c r="I176" s="204"/>
      <c r="J176" s="204"/>
      <c r="K176"/>
      <c r="L176"/>
      <c r="M176"/>
      <c r="N176"/>
      <c r="O176"/>
      <c r="P176"/>
      <c r="Q176"/>
      <c r="R176"/>
      <c r="S176"/>
      <c r="T176"/>
      <c r="U176"/>
      <c r="V176" s="204"/>
      <c r="X176"/>
      <c r="Y176"/>
    </row>
    <row r="177" spans="9:25" ht="14.4" x14ac:dyDescent="0.3">
      <c r="I177" s="204"/>
      <c r="J177" s="204"/>
      <c r="K177"/>
      <c r="L177"/>
      <c r="M177"/>
      <c r="N177"/>
      <c r="O177"/>
      <c r="P177"/>
      <c r="Q177"/>
      <c r="R177"/>
      <c r="S177"/>
      <c r="T177"/>
      <c r="U177" s="273"/>
      <c r="V177" s="204"/>
      <c r="X177" s="273"/>
      <c r="Y177"/>
    </row>
    <row r="178" spans="9:25" ht="14.4" x14ac:dyDescent="0.3">
      <c r="I178" s="204"/>
      <c r="J178" s="204"/>
      <c r="K178"/>
      <c r="L178"/>
      <c r="M178"/>
      <c r="N178"/>
      <c r="O178"/>
      <c r="P178"/>
      <c r="Q178"/>
      <c r="R178"/>
      <c r="S178"/>
      <c r="T178"/>
      <c r="U178" s="273"/>
      <c r="V178" s="204">
        <v>340995.68</v>
      </c>
      <c r="X178" s="273"/>
    </row>
    <row r="179" spans="9:25" ht="14.4" x14ac:dyDescent="0.3">
      <c r="I179" s="204"/>
      <c r="J179" s="204"/>
      <c r="K179"/>
      <c r="L179"/>
      <c r="M179"/>
      <c r="N179"/>
      <c r="O179"/>
      <c r="P179"/>
      <c r="Q179"/>
      <c r="R179"/>
      <c r="S179"/>
      <c r="T179"/>
      <c r="U179" s="273"/>
      <c r="V179" s="204">
        <v>262741.87</v>
      </c>
      <c r="X179" s="273"/>
    </row>
    <row r="180" spans="9:25" ht="14.4" x14ac:dyDescent="0.3">
      <c r="I180" s="204"/>
      <c r="J180" s="204"/>
      <c r="K180"/>
      <c r="L180"/>
      <c r="M180"/>
      <c r="N180"/>
      <c r="O180"/>
      <c r="P180"/>
      <c r="Q180"/>
      <c r="R180"/>
      <c r="S180"/>
      <c r="T180"/>
      <c r="U180" s="273"/>
      <c r="V180" s="204">
        <v>436144.5</v>
      </c>
      <c r="X180" s="273"/>
    </row>
    <row r="181" spans="9:25" ht="14.4" x14ac:dyDescent="0.3">
      <c r="I181" s="204"/>
      <c r="J181" s="204"/>
      <c r="K181"/>
      <c r="L181"/>
      <c r="M181"/>
      <c r="N181"/>
      <c r="O181"/>
      <c r="P181"/>
      <c r="Q181"/>
      <c r="R181"/>
      <c r="S181"/>
      <c r="T181"/>
      <c r="U181" s="273"/>
      <c r="V181" s="204">
        <v>2.25</v>
      </c>
      <c r="X181" s="273"/>
    </row>
    <row r="182" spans="9:25" ht="14.4" x14ac:dyDescent="0.3">
      <c r="I182" s="204"/>
      <c r="J182" s="204"/>
      <c r="K182"/>
      <c r="L182"/>
      <c r="M182"/>
      <c r="N182"/>
      <c r="O182"/>
      <c r="P182"/>
      <c r="Q182"/>
      <c r="R182"/>
      <c r="S182"/>
      <c r="T182"/>
      <c r="U182" s="273"/>
      <c r="V182" s="204">
        <v>242479.2</v>
      </c>
      <c r="X182" s="273"/>
    </row>
    <row r="183" spans="9:25" ht="14.4" x14ac:dyDescent="0.3">
      <c r="I183" s="204"/>
      <c r="J183" s="204"/>
      <c r="K183"/>
      <c r="L183"/>
      <c r="M183"/>
      <c r="N183"/>
      <c r="O183"/>
      <c r="P183"/>
      <c r="Q183"/>
      <c r="R183"/>
      <c r="S183"/>
      <c r="T183"/>
      <c r="U183" s="273"/>
      <c r="V183" s="204">
        <v>260669.27</v>
      </c>
      <c r="X183" s="273"/>
    </row>
    <row r="184" spans="9:25" ht="14.4" x14ac:dyDescent="0.3">
      <c r="I184" s="204"/>
      <c r="J184" s="204"/>
      <c r="K184"/>
      <c r="L184"/>
      <c r="M184"/>
      <c r="N184"/>
      <c r="O184"/>
      <c r="P184"/>
      <c r="Q184"/>
      <c r="R184"/>
      <c r="S184"/>
      <c r="T184"/>
      <c r="U184" s="273"/>
      <c r="V184" s="204">
        <v>350850.62</v>
      </c>
      <c r="X184" s="273"/>
    </row>
    <row r="185" spans="9:25" ht="14.4" x14ac:dyDescent="0.3"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32"/>
      <c r="V185" s="204">
        <v>444204.71</v>
      </c>
      <c r="X185" s="232"/>
    </row>
    <row r="186" spans="9:25" ht="14.4" x14ac:dyDescent="0.3"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32"/>
      <c r="V186" s="204">
        <v>672332.18</v>
      </c>
      <c r="X186" s="232"/>
    </row>
    <row r="187" spans="9:25" ht="14.4" x14ac:dyDescent="0.3"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32"/>
      <c r="V187" s="204">
        <v>92844.79</v>
      </c>
      <c r="X187" s="232"/>
    </row>
    <row r="188" spans="9:25" ht="14.4" x14ac:dyDescent="0.3"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32"/>
      <c r="V188" s="204"/>
      <c r="X188" s="232"/>
    </row>
    <row r="189" spans="9:25" ht="14.4" x14ac:dyDescent="0.3"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32" t="s">
        <v>2</v>
      </c>
      <c r="V189" s="204">
        <v>3103265.07</v>
      </c>
      <c r="X189" s="232" t="s">
        <v>2</v>
      </c>
    </row>
  </sheetData>
  <mergeCells count="3">
    <mergeCell ref="N6:O6"/>
    <mergeCell ref="V6:W6"/>
    <mergeCell ref="I2:T2"/>
  </mergeCells>
  <conditionalFormatting sqref="AA97:AD97">
    <cfRule type="cellIs" dxfId="0" priority="1" operator="lessThan">
      <formula>0</formula>
    </cfRule>
  </conditionalFormatting>
  <pageMargins left="0.7" right="0.7" top="0.75" bottom="0.75" header="0.3" footer="0.3"/>
  <pageSetup scale="3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25A27-32C9-4EEE-A209-CDC7F4C17347}">
  <sheetPr>
    <pageSetUpPr fitToPage="1"/>
  </sheetPr>
  <dimension ref="A1:K29"/>
  <sheetViews>
    <sheetView zoomScaleNormal="100" workbookViewId="0">
      <selection sqref="A1:I1"/>
    </sheetView>
  </sheetViews>
  <sheetFormatPr defaultRowHeight="14.4" x14ac:dyDescent="0.3"/>
  <cols>
    <col min="1" max="1" width="35.6640625" customWidth="1"/>
    <col min="2" max="4" width="20.6640625" customWidth="1"/>
    <col min="5" max="5" width="22.44140625" customWidth="1"/>
    <col min="6" max="7" width="24.33203125" customWidth="1"/>
    <col min="8" max="8" width="20.6640625" customWidth="1"/>
    <col min="9" max="9" width="20.88671875" customWidth="1"/>
    <col min="10" max="10" width="18.44140625" customWidth="1"/>
    <col min="11" max="11" width="12.5546875" bestFit="1" customWidth="1"/>
  </cols>
  <sheetData>
    <row r="1" spans="1:11" ht="23.4" x14ac:dyDescent="0.45">
      <c r="A1" s="477" t="s">
        <v>121</v>
      </c>
      <c r="B1" s="477"/>
      <c r="C1" s="477"/>
      <c r="D1" s="477"/>
      <c r="E1" s="477"/>
      <c r="F1" s="477"/>
      <c r="G1" s="477"/>
      <c r="H1" s="477"/>
      <c r="I1" s="477"/>
    </row>
    <row r="2" spans="1:11" ht="18" x14ac:dyDescent="0.35">
      <c r="A2" s="478" t="s">
        <v>122</v>
      </c>
      <c r="B2" s="478"/>
      <c r="C2" s="478"/>
      <c r="D2" s="478"/>
      <c r="E2" s="478"/>
      <c r="F2" s="478"/>
      <c r="G2" s="478"/>
      <c r="H2" s="478"/>
      <c r="I2" s="478"/>
    </row>
    <row r="3" spans="1:11" ht="18" x14ac:dyDescent="0.35">
      <c r="A3" s="478" t="s">
        <v>182</v>
      </c>
      <c r="B3" s="478"/>
      <c r="C3" s="478"/>
      <c r="D3" s="478"/>
      <c r="E3" s="478"/>
      <c r="F3" s="478"/>
      <c r="G3" s="478"/>
      <c r="H3" s="478"/>
      <c r="I3" s="478"/>
    </row>
    <row r="6" spans="1:11" x14ac:dyDescent="0.3">
      <c r="E6" s="301" t="str">
        <f>+'Detailed GF version'!T7</f>
        <v>Actual 2020</v>
      </c>
      <c r="F6" s="301" t="str">
        <f>+'Detailed GF version'!U7</f>
        <v>Actual 2021</v>
      </c>
      <c r="G6" s="301" t="s">
        <v>2</v>
      </c>
    </row>
    <row r="7" spans="1:11" x14ac:dyDescent="0.3">
      <c r="B7" s="301" t="s">
        <v>11</v>
      </c>
      <c r="C7" s="301" t="s">
        <v>65</v>
      </c>
      <c r="D7" s="301" t="s">
        <v>70</v>
      </c>
      <c r="E7" s="301" t="s">
        <v>160</v>
      </c>
      <c r="F7" s="301" t="s">
        <v>161</v>
      </c>
      <c r="G7" s="301" t="str">
        <f>+'Detailed GF version'!X7</f>
        <v>Actual 2022</v>
      </c>
      <c r="H7" s="301" t="s">
        <v>158</v>
      </c>
      <c r="I7" s="301" t="s">
        <v>176</v>
      </c>
    </row>
    <row r="9" spans="1:11" x14ac:dyDescent="0.3">
      <c r="A9" t="s">
        <v>123</v>
      </c>
    </row>
    <row r="10" spans="1:11" x14ac:dyDescent="0.3">
      <c r="A10" s="311" t="s">
        <v>124</v>
      </c>
      <c r="B10" s="272">
        <v>15172576.639999997</v>
      </c>
      <c r="C10" s="272">
        <v>14951511.709999993</v>
      </c>
      <c r="D10" s="272">
        <v>15175978.139999995</v>
      </c>
      <c r="E10" s="272">
        <v>15101998.300000001</v>
      </c>
      <c r="F10" s="272">
        <v>14722030.5</v>
      </c>
      <c r="G10" s="272">
        <v>13855103.100000001</v>
      </c>
      <c r="H10" s="272">
        <v>14641894.426316014</v>
      </c>
      <c r="I10" s="272">
        <v>15439564.331913665</v>
      </c>
      <c r="K10" s="273"/>
    </row>
    <row r="11" spans="1:11" x14ac:dyDescent="0.3">
      <c r="A11" s="311" t="s">
        <v>105</v>
      </c>
      <c r="B11" s="273">
        <v>6197168.3800000008</v>
      </c>
      <c r="C11" s="273">
        <v>6479091.6000000015</v>
      </c>
      <c r="D11" s="273">
        <v>6482426.0900000017</v>
      </c>
      <c r="E11" s="273">
        <v>6572961.4399999985</v>
      </c>
      <c r="F11" s="273">
        <v>4830293.8599999994</v>
      </c>
      <c r="G11" s="273">
        <v>5240960.9000000004</v>
      </c>
      <c r="H11" s="273">
        <v>6203017.711698655</v>
      </c>
      <c r="I11" s="273">
        <v>6848650.6006461149</v>
      </c>
      <c r="K11" s="273"/>
    </row>
    <row r="12" spans="1:11" x14ac:dyDescent="0.3">
      <c r="A12" s="311" t="s">
        <v>106</v>
      </c>
      <c r="B12" s="273">
        <v>250</v>
      </c>
      <c r="C12" s="273">
        <v>2056</v>
      </c>
      <c r="D12" s="273">
        <v>40153.129999999997</v>
      </c>
      <c r="E12" s="273">
        <v>51075.540000000015</v>
      </c>
      <c r="F12" s="273">
        <v>39360.14</v>
      </c>
      <c r="G12" s="273">
        <v>42337.640000000014</v>
      </c>
      <c r="H12" s="273">
        <v>53147.413710959314</v>
      </c>
      <c r="I12" s="273">
        <v>20926.605583990262</v>
      </c>
      <c r="K12" s="273"/>
    </row>
    <row r="13" spans="1:11" x14ac:dyDescent="0.3">
      <c r="A13" s="311" t="s">
        <v>126</v>
      </c>
      <c r="B13" s="273">
        <v>166329.56000000003</v>
      </c>
      <c r="C13" s="273">
        <v>76866.59</v>
      </c>
      <c r="D13" s="273">
        <v>65937.960000000006</v>
      </c>
      <c r="E13" s="273">
        <v>112247.88</v>
      </c>
      <c r="F13" s="273">
        <v>36010.86</v>
      </c>
      <c r="G13" s="273">
        <v>18518.25</v>
      </c>
      <c r="H13" s="273">
        <v>89867.010348504016</v>
      </c>
      <c r="I13" s="273">
        <v>28913.479212326263</v>
      </c>
      <c r="K13" s="273"/>
    </row>
    <row r="14" spans="1:11" x14ac:dyDescent="0.3">
      <c r="A14" s="311" t="s">
        <v>107</v>
      </c>
      <c r="B14" s="274">
        <v>1472986.3000000005</v>
      </c>
      <c r="C14" s="274">
        <v>1757209.5800000003</v>
      </c>
      <c r="D14" s="274">
        <v>1567740.83</v>
      </c>
      <c r="E14" s="274">
        <v>1424284.81</v>
      </c>
      <c r="F14" s="274">
        <v>1415348.5499999996</v>
      </c>
      <c r="G14" s="274">
        <v>1445811.9699999997</v>
      </c>
      <c r="H14" s="274">
        <v>2222067.8017441244</v>
      </c>
      <c r="I14" s="274">
        <v>1840623.2481995197</v>
      </c>
      <c r="K14" s="273"/>
    </row>
    <row r="15" spans="1:11" x14ac:dyDescent="0.3">
      <c r="A15" s="311"/>
      <c r="B15" s="273"/>
      <c r="C15" s="273"/>
      <c r="D15" s="273"/>
      <c r="E15" s="273"/>
      <c r="F15" s="273"/>
      <c r="G15" s="273"/>
      <c r="H15" s="273"/>
      <c r="I15" s="273"/>
    </row>
    <row r="16" spans="1:11" ht="15" thickBot="1" x14ac:dyDescent="0.35">
      <c r="A16" s="311"/>
      <c r="B16" s="271">
        <f t="shared" ref="B16:G16" si="0">SUM(B10:B15)</f>
        <v>23009310.879999995</v>
      </c>
      <c r="C16" s="271">
        <f t="shared" si="0"/>
        <v>23266735.479999997</v>
      </c>
      <c r="D16" s="271">
        <f t="shared" si="0"/>
        <v>23332236.149999999</v>
      </c>
      <c r="E16" s="271">
        <f t="shared" si="0"/>
        <v>23262567.969999995</v>
      </c>
      <c r="F16" s="271">
        <f t="shared" si="0"/>
        <v>21043043.91</v>
      </c>
      <c r="G16" s="271">
        <f t="shared" si="0"/>
        <v>20602731.859999999</v>
      </c>
      <c r="H16" s="271">
        <f>SUM(H10:H15)</f>
        <v>23209994.363818254</v>
      </c>
      <c r="I16" s="271">
        <f t="shared" ref="I16" si="1">SUM(I10:I15)</f>
        <v>24178678.265555616</v>
      </c>
    </row>
    <row r="17" spans="1:9" ht="15" thickTop="1" x14ac:dyDescent="0.3"/>
    <row r="18" spans="1:9" ht="15" thickBot="1" x14ac:dyDescent="0.35">
      <c r="A18" s="312" t="s">
        <v>125</v>
      </c>
      <c r="B18" s="313">
        <f>+B16/+'Detailed GF version'!I22</f>
        <v>0.47141893337831436</v>
      </c>
      <c r="C18" s="313">
        <f>+C16/+'Detailed GF version'!K22</f>
        <v>0.43742229112970754</v>
      </c>
      <c r="D18" s="313">
        <f>+D16/'Detailed GF version'!S22</f>
        <v>0.46966401759658427</v>
      </c>
      <c r="E18" s="313">
        <f>+E16/49862764.76</f>
        <v>0.46653185161247357</v>
      </c>
      <c r="F18" s="313">
        <f>+F16/'Detailed GF version'!U22</f>
        <v>0.49897237999248872</v>
      </c>
      <c r="G18" s="313">
        <f>+G16/'Detailed GF version'!X22</f>
        <v>0.35737297958248571</v>
      </c>
      <c r="H18" s="324">
        <f>+H16/+'Detailed GF version'!Z22</f>
        <v>0.46233388450932439</v>
      </c>
      <c r="I18" s="324">
        <f>+I16/+'Detailed GF version'!AA22</f>
        <v>0.47501270563531933</v>
      </c>
    </row>
    <row r="19" spans="1:9" ht="15" thickTop="1" x14ac:dyDescent="0.3"/>
    <row r="20" spans="1:9" ht="15" thickBot="1" x14ac:dyDescent="0.35">
      <c r="A20" s="441" t="s">
        <v>169</v>
      </c>
      <c r="B20" s="442">
        <f>+B16/'Spring 2023'!I39</f>
        <v>0.45163631762264</v>
      </c>
      <c r="C20" s="442">
        <f>+C16/'Spring 2023'!K39</f>
        <v>0.43570236999284234</v>
      </c>
      <c r="D20" s="442">
        <f>+D16/'Spring 2023'!S39</f>
        <v>0.42954069051617061</v>
      </c>
      <c r="E20" s="442">
        <f>+E16/'Spring 2023'!T39</f>
        <v>0.47035825762555877</v>
      </c>
      <c r="F20" s="442">
        <f>+F16/'Spring 2023'!U39</f>
        <v>0.49381755069373301</v>
      </c>
      <c r="G20" s="442">
        <f>+G16/'Spring 2023'!V39</f>
        <v>0.41412113728949235</v>
      </c>
      <c r="H20" s="442">
        <f>+H16/'Spring 2023'!X39</f>
        <v>0.44789638260322906</v>
      </c>
      <c r="I20" s="442">
        <f>+I16/'Spring 2023'!Y39</f>
        <v>0.4772892464247282</v>
      </c>
    </row>
    <row r="21" spans="1:9" ht="15" thickTop="1" x14ac:dyDescent="0.3"/>
    <row r="23" spans="1:9" ht="15" thickBot="1" x14ac:dyDescent="0.35">
      <c r="A23" s="315" t="s">
        <v>127</v>
      </c>
      <c r="B23" s="323">
        <v>0.4</v>
      </c>
      <c r="E23" t="s">
        <v>2</v>
      </c>
    </row>
    <row r="24" spans="1:9" ht="15" thickTop="1" x14ac:dyDescent="0.3">
      <c r="B24" s="314"/>
    </row>
    <row r="25" spans="1:9" x14ac:dyDescent="0.3">
      <c r="B25" s="314"/>
    </row>
    <row r="26" spans="1:9" x14ac:dyDescent="0.3">
      <c r="A26" t="s">
        <v>128</v>
      </c>
    </row>
    <row r="27" spans="1:9" x14ac:dyDescent="0.3">
      <c r="A27" s="355" t="s">
        <v>131</v>
      </c>
      <c r="B27" s="355"/>
      <c r="C27" s="355"/>
      <c r="D27" s="355"/>
      <c r="E27" s="355"/>
    </row>
    <row r="29" spans="1:9" x14ac:dyDescent="0.3">
      <c r="A29" t="s">
        <v>2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58" orientation="landscape" horizontalDpi="4294967293" verticalDpi="24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C6F5-18CC-4898-B83F-D1F748AEF438}">
  <sheetPr>
    <pageSetUpPr fitToPage="1"/>
  </sheetPr>
  <dimension ref="B17:N45"/>
  <sheetViews>
    <sheetView zoomScale="90" zoomScaleNormal="90" workbookViewId="0">
      <selection activeCell="X4" sqref="X4"/>
    </sheetView>
  </sheetViews>
  <sheetFormatPr defaultRowHeight="14.4" x14ac:dyDescent="0.3"/>
  <cols>
    <col min="10" max="10" width="15.109375" bestFit="1" customWidth="1"/>
  </cols>
  <sheetData>
    <row r="17" spans="2:2" x14ac:dyDescent="0.3">
      <c r="B17" t="s">
        <v>2</v>
      </c>
    </row>
    <row r="33" spans="8:14" x14ac:dyDescent="0.3">
      <c r="H33" s="303"/>
      <c r="I33" s="436" t="s">
        <v>156</v>
      </c>
      <c r="J33" s="304">
        <f>+'Detailed GF version'!Z10</f>
        <v>9340334.5600000024</v>
      </c>
      <c r="K33" s="303"/>
      <c r="L33" s="303"/>
      <c r="M33" s="303"/>
      <c r="N33" s="303"/>
    </row>
    <row r="34" spans="8:14" x14ac:dyDescent="0.3">
      <c r="H34" s="303"/>
      <c r="I34" s="436" t="s">
        <v>103</v>
      </c>
      <c r="J34" s="304">
        <f>+'Spring 2023'!X12</f>
        <v>7081400</v>
      </c>
      <c r="K34" s="303"/>
      <c r="L34" s="303"/>
      <c r="M34" s="303"/>
      <c r="N34" s="303"/>
    </row>
    <row r="35" spans="8:14" x14ac:dyDescent="0.3">
      <c r="H35" s="303"/>
      <c r="I35" s="436" t="s">
        <v>104</v>
      </c>
      <c r="J35" s="304">
        <f>+'Spring 2023'!X13</f>
        <v>4877900</v>
      </c>
      <c r="K35" s="303"/>
      <c r="L35" s="303"/>
      <c r="M35" s="303"/>
      <c r="N35" s="303"/>
    </row>
    <row r="36" spans="8:14" x14ac:dyDescent="0.3">
      <c r="H36" s="303"/>
      <c r="I36" s="436" t="s">
        <v>105</v>
      </c>
      <c r="J36" s="304">
        <f>+'Spring 2023'!X14</f>
        <v>11975437</v>
      </c>
      <c r="K36" s="303"/>
      <c r="L36" s="303"/>
      <c r="M36" s="303"/>
      <c r="N36" s="303"/>
    </row>
    <row r="37" spans="8:14" x14ac:dyDescent="0.3">
      <c r="H37" s="303"/>
      <c r="I37" s="436" t="s">
        <v>106</v>
      </c>
      <c r="J37" s="304">
        <f>+'Spring 2023'!X15</f>
        <v>564013</v>
      </c>
      <c r="K37" s="303"/>
      <c r="L37" s="303"/>
      <c r="M37" s="303"/>
      <c r="N37" s="303"/>
    </row>
    <row r="38" spans="8:14" x14ac:dyDescent="0.3">
      <c r="H38" s="303"/>
      <c r="I38" s="436" t="s">
        <v>107</v>
      </c>
      <c r="J38" s="304">
        <f>+'Spring 2023'!X16</f>
        <v>8749802.9499999993</v>
      </c>
      <c r="K38" s="303"/>
      <c r="L38" s="303"/>
      <c r="M38" s="303"/>
      <c r="N38" s="303"/>
    </row>
    <row r="39" spans="8:14" x14ac:dyDescent="0.3">
      <c r="H39" s="303"/>
      <c r="I39" s="436" t="s">
        <v>19</v>
      </c>
      <c r="J39" s="304">
        <f>+'Spring 2023'!X18</f>
        <v>1956481</v>
      </c>
      <c r="K39" s="303"/>
      <c r="L39" s="303"/>
      <c r="M39" s="303"/>
      <c r="N39" s="303"/>
    </row>
    <row r="40" spans="8:14" x14ac:dyDescent="0.3">
      <c r="H40" s="303"/>
      <c r="I40" s="436" t="s">
        <v>75</v>
      </c>
      <c r="J40" s="304">
        <f>+'Spring 2023'!X19</f>
        <v>4507000</v>
      </c>
      <c r="K40" s="303"/>
      <c r="L40" s="303"/>
      <c r="M40" s="303"/>
      <c r="N40" s="303"/>
    </row>
    <row r="41" spans="8:14" x14ac:dyDescent="0.3">
      <c r="H41" s="303"/>
      <c r="I41" s="436" t="s">
        <v>76</v>
      </c>
      <c r="J41" s="304">
        <f>+'Spring 2023'!X20</f>
        <v>692000</v>
      </c>
      <c r="K41" s="303"/>
      <c r="L41" s="303"/>
      <c r="M41" s="303"/>
      <c r="N41" s="303"/>
    </row>
    <row r="42" spans="8:14" x14ac:dyDescent="0.3">
      <c r="H42" s="303"/>
      <c r="I42" s="436" t="s">
        <v>68</v>
      </c>
      <c r="J42" s="304">
        <f>+'Spring 2023'!X21</f>
        <v>457434</v>
      </c>
      <c r="K42" s="303"/>
      <c r="L42" s="303"/>
      <c r="M42" s="303"/>
      <c r="N42" s="303"/>
    </row>
    <row r="43" spans="8:14" x14ac:dyDescent="0.3">
      <c r="I43" s="303"/>
      <c r="J43" s="303"/>
    </row>
    <row r="44" spans="8:14" x14ac:dyDescent="0.3">
      <c r="I44" s="303"/>
      <c r="J44" s="303"/>
    </row>
    <row r="45" spans="8:14" x14ac:dyDescent="0.3">
      <c r="I45" s="303"/>
      <c r="J45" s="303"/>
    </row>
  </sheetData>
  <pageMargins left="0.7" right="0.7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F17A-9933-4B5C-9BD4-F63D264A17AB}">
  <dimension ref="A1:L20"/>
  <sheetViews>
    <sheetView zoomScaleNormal="100" workbookViewId="0">
      <selection sqref="A1:C1"/>
    </sheetView>
  </sheetViews>
  <sheetFormatPr defaultRowHeight="14.4" x14ac:dyDescent="0.3"/>
  <cols>
    <col min="1" max="1" width="98.88671875" bestFit="1" customWidth="1"/>
    <col min="2" max="2" width="21.109375" bestFit="1" customWidth="1"/>
    <col min="3" max="3" width="19.109375" bestFit="1" customWidth="1"/>
  </cols>
  <sheetData>
    <row r="1" spans="1:12" ht="21" x14ac:dyDescent="0.4">
      <c r="A1" s="480" t="s">
        <v>171</v>
      </c>
      <c r="B1" s="480"/>
      <c r="C1" s="480"/>
      <c r="D1" s="7"/>
      <c r="E1" s="7"/>
      <c r="F1" s="7"/>
      <c r="G1" s="7"/>
      <c r="H1" s="7"/>
      <c r="I1" s="7"/>
      <c r="J1" s="7"/>
      <c r="K1" s="7"/>
      <c r="L1" s="7"/>
    </row>
    <row r="2" spans="1:12" ht="21" x14ac:dyDescent="0.4">
      <c r="A2" s="481" t="s">
        <v>172</v>
      </c>
      <c r="B2" s="481"/>
      <c r="C2" s="481"/>
      <c r="D2" s="444"/>
      <c r="E2" s="444"/>
      <c r="F2" s="444"/>
      <c r="G2" s="444"/>
      <c r="H2" s="444"/>
      <c r="I2" s="444"/>
      <c r="J2" s="444"/>
      <c r="K2" s="444"/>
      <c r="L2" s="444"/>
    </row>
    <row r="3" spans="1:12" ht="21" x14ac:dyDescent="0.4">
      <c r="A3" s="481" t="s">
        <v>183</v>
      </c>
      <c r="B3" s="481"/>
      <c r="C3" s="481"/>
      <c r="D3" s="444"/>
      <c r="E3" s="444"/>
      <c r="F3" s="444"/>
      <c r="G3" s="444"/>
      <c r="H3" s="444"/>
      <c r="I3" s="444"/>
      <c r="J3" s="444"/>
      <c r="K3" s="444"/>
      <c r="L3" s="444"/>
    </row>
    <row r="4" spans="1:12" x14ac:dyDescent="0.3">
      <c r="A4" s="446"/>
      <c r="B4" s="446"/>
      <c r="C4" s="446"/>
    </row>
    <row r="5" spans="1:12" ht="21" x14ac:dyDescent="0.4">
      <c r="A5" s="446"/>
      <c r="B5" s="479" t="str">
        <f>+A3</f>
        <v>FY 2024 Budget</v>
      </c>
      <c r="C5" s="479"/>
    </row>
    <row r="6" spans="1:12" ht="21" x14ac:dyDescent="0.4">
      <c r="A6" s="446"/>
      <c r="B6" s="455" t="s">
        <v>14</v>
      </c>
      <c r="C6" s="455" t="s">
        <v>15</v>
      </c>
    </row>
    <row r="7" spans="1:12" x14ac:dyDescent="0.3">
      <c r="A7" s="446"/>
      <c r="B7" s="446"/>
      <c r="C7" s="446"/>
    </row>
    <row r="8" spans="1:12" ht="21" x14ac:dyDescent="0.4">
      <c r="A8" s="456" t="str">
        <f>+'Spring 2023'!B11</f>
        <v>Publishing</v>
      </c>
      <c r="B8" s="457">
        <f>+'Spring 2023'!Y11</f>
        <v>9146010</v>
      </c>
      <c r="C8" s="458">
        <f>+B8/B$19</f>
        <v>0.17968190436847492</v>
      </c>
    </row>
    <row r="9" spans="1:12" ht="21" x14ac:dyDescent="0.4">
      <c r="A9" s="456" t="str">
        <f>+'Spring 2023'!B12</f>
        <v>Conference</v>
      </c>
      <c r="B9" s="459">
        <f>+'Spring 2023'!Y12</f>
        <v>5945007</v>
      </c>
      <c r="C9" s="458">
        <f t="shared" ref="C9:C17" si="0">+B9/B$19</f>
        <v>0.11679521225582674</v>
      </c>
    </row>
    <row r="10" spans="1:12" ht="21" x14ac:dyDescent="0.4">
      <c r="A10" s="456" t="str">
        <f>+'Spring 2023'!B13</f>
        <v>Membership Dues</v>
      </c>
      <c r="B10" s="459">
        <f>+'Spring 2023'!Y13</f>
        <v>4809409</v>
      </c>
      <c r="C10" s="458">
        <f t="shared" si="0"/>
        <v>9.4485329450425107E-2</v>
      </c>
    </row>
    <row r="11" spans="1:12" ht="21" x14ac:dyDescent="0.4">
      <c r="A11" s="456" t="str">
        <f>+'Spring 2023'!B14</f>
        <v>Divisions</v>
      </c>
      <c r="B11" s="459">
        <f>+'Spring 2023'!Y14</f>
        <v>14306254.999999996</v>
      </c>
      <c r="C11" s="458">
        <f t="shared" si="0"/>
        <v>0.28105973454883776</v>
      </c>
    </row>
    <row r="12" spans="1:12" ht="21" x14ac:dyDescent="0.4">
      <c r="A12" s="456" t="str">
        <f>+'Spring 2023'!B15</f>
        <v xml:space="preserve">Round Tables </v>
      </c>
      <c r="B12" s="459">
        <f>+'Spring 2023'!Y15</f>
        <v>565589.99999999895</v>
      </c>
      <c r="C12" s="458">
        <f t="shared" si="0"/>
        <v>1.1111543535570761E-2</v>
      </c>
    </row>
    <row r="13" spans="1:12" ht="21" x14ac:dyDescent="0.4">
      <c r="A13" s="456" t="str">
        <f>+'Spring 2023'!B16</f>
        <v>Grants</v>
      </c>
      <c r="B13" s="459">
        <f>+'Spring 2023'!Y16</f>
        <v>7333856.0200000033</v>
      </c>
      <c r="C13" s="458">
        <f t="shared" si="0"/>
        <v>0.14408044776222687</v>
      </c>
    </row>
    <row r="14" spans="1:12" ht="21" x14ac:dyDescent="0.4">
      <c r="A14" s="456" t="str">
        <f>+'Spring 2023'!B18</f>
        <v>Endowment Fund and General Fund - Interest Income and Investment Earnings</v>
      </c>
      <c r="B14" s="459">
        <f>+'Spring 2023'!Y18</f>
        <v>2577307</v>
      </c>
      <c r="C14" s="458">
        <f t="shared" si="0"/>
        <v>5.0633601964375829E-2</v>
      </c>
    </row>
    <row r="15" spans="1:12" ht="21" x14ac:dyDescent="0.4">
      <c r="A15" s="456" t="str">
        <f>+'Spring 2023'!B19</f>
        <v>Contributed Revenue</v>
      </c>
      <c r="B15" s="459">
        <f>+'Spring 2023'!Y19</f>
        <v>5000000</v>
      </c>
      <c r="C15" s="458">
        <f t="shared" si="0"/>
        <v>9.8229667564585496E-2</v>
      </c>
    </row>
    <row r="16" spans="1:12" ht="21" x14ac:dyDescent="0.4">
      <c r="A16" s="456" t="str">
        <f>+'Spring 2023'!B20</f>
        <v>Continuing Education</v>
      </c>
      <c r="B16" s="459">
        <f>+'Spring 2023'!Y20</f>
        <v>764499.99999999977</v>
      </c>
      <c r="C16" s="458">
        <f t="shared" si="0"/>
        <v>1.5019316170625118E-2</v>
      </c>
    </row>
    <row r="17" spans="1:3" ht="21" x14ac:dyDescent="0.4">
      <c r="A17" s="456" t="str">
        <f>+'Spring 2023'!B21</f>
        <v xml:space="preserve">Other </v>
      </c>
      <c r="B17" s="460">
        <f>+'Spring 2023'!Y21</f>
        <v>453185.00000000012</v>
      </c>
      <c r="C17" s="461">
        <f t="shared" si="0"/>
        <v>8.9032423790513376E-3</v>
      </c>
    </row>
    <row r="18" spans="1:3" ht="21" x14ac:dyDescent="0.4">
      <c r="A18" s="456"/>
      <c r="B18" s="459"/>
      <c r="C18" s="446"/>
    </row>
    <row r="19" spans="1:3" ht="21.6" thickBot="1" x14ac:dyDescent="0.45">
      <c r="A19" s="456" t="str">
        <f>+'Spring 2023'!B23</f>
        <v>Total ALA Revenue</v>
      </c>
      <c r="B19" s="462">
        <f>SUM(B8:B18)</f>
        <v>50901119.020000003</v>
      </c>
      <c r="C19" s="463">
        <f>SUM(C8:C17)</f>
        <v>0.99999999999999989</v>
      </c>
    </row>
    <row r="20" spans="1:3" ht="15" thickTop="1" x14ac:dyDescent="0.3"/>
  </sheetData>
  <mergeCells count="4">
    <mergeCell ref="B5:C5"/>
    <mergeCell ref="A1:C1"/>
    <mergeCell ref="A2:C2"/>
    <mergeCell ref="A3:C3"/>
  </mergeCells>
  <pageMargins left="0.7" right="0.7" top="0.75" bottom="0.75" header="0.3" footer="0.3"/>
  <pageSetup scale="65" orientation="portrait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42D6-7996-49ED-921B-BD2534A8F414}">
  <dimension ref="A1:H28"/>
  <sheetViews>
    <sheetView zoomScale="107" zoomScaleNormal="107" workbookViewId="0">
      <selection sqref="A1:E1"/>
    </sheetView>
  </sheetViews>
  <sheetFormatPr defaultRowHeight="14.4" x14ac:dyDescent="0.3"/>
  <cols>
    <col min="1" max="1" width="23.6640625" customWidth="1"/>
    <col min="2" max="2" width="21.44140625" customWidth="1"/>
    <col min="3" max="4" width="17.33203125" customWidth="1"/>
    <col min="5" max="5" width="12.6640625" customWidth="1"/>
  </cols>
  <sheetData>
    <row r="1" spans="1:8" ht="23.4" x14ac:dyDescent="0.45">
      <c r="A1" s="477" t="s">
        <v>173</v>
      </c>
      <c r="B1" s="477"/>
      <c r="C1" s="477"/>
      <c r="D1" s="477"/>
      <c r="E1" s="477"/>
      <c r="F1" s="1"/>
      <c r="G1" s="1"/>
      <c r="H1" s="1"/>
    </row>
    <row r="2" spans="1:8" x14ac:dyDescent="0.3">
      <c r="A2" s="482" t="s">
        <v>157</v>
      </c>
      <c r="B2" s="482"/>
      <c r="C2" s="482"/>
      <c r="D2" s="482"/>
      <c r="E2" s="482"/>
    </row>
    <row r="3" spans="1:8" x14ac:dyDescent="0.3">
      <c r="A3" s="482" t="s">
        <v>164</v>
      </c>
      <c r="B3" s="482"/>
      <c r="C3" s="482"/>
      <c r="D3" s="482"/>
      <c r="E3" s="482"/>
    </row>
    <row r="4" spans="1:8" x14ac:dyDescent="0.3">
      <c r="A4" s="445"/>
      <c r="B4" s="445"/>
      <c r="C4" s="445"/>
      <c r="D4" s="445"/>
      <c r="E4" s="446"/>
    </row>
    <row r="5" spans="1:8" x14ac:dyDescent="0.3">
      <c r="A5" s="446"/>
      <c r="B5" s="446"/>
      <c r="C5" s="446"/>
      <c r="D5" s="446"/>
      <c r="E5" s="446"/>
    </row>
    <row r="6" spans="1:8" x14ac:dyDescent="0.3">
      <c r="A6" s="446"/>
      <c r="B6" s="445" t="s">
        <v>152</v>
      </c>
      <c r="C6" s="445"/>
      <c r="D6" s="445"/>
      <c r="E6" s="446"/>
    </row>
    <row r="7" spans="1:8" x14ac:dyDescent="0.3">
      <c r="A7" s="446"/>
      <c r="B7" s="445" t="s">
        <v>153</v>
      </c>
      <c r="C7" s="445" t="s">
        <v>105</v>
      </c>
      <c r="D7" s="445" t="s">
        <v>106</v>
      </c>
      <c r="E7" s="445" t="s">
        <v>154</v>
      </c>
    </row>
    <row r="8" spans="1:8" x14ac:dyDescent="0.3">
      <c r="A8" s="446"/>
      <c r="B8" s="446"/>
      <c r="C8" s="446"/>
      <c r="D8" s="446"/>
      <c r="E8" s="446"/>
    </row>
    <row r="9" spans="1:8" hidden="1" x14ac:dyDescent="0.3">
      <c r="A9" s="446" t="str">
        <f>+'Spring 2023'!I8</f>
        <v>Actual 2017</v>
      </c>
      <c r="B9" s="447">
        <f>+'Spring 2023'!I77+'Spring 2023'!I78</f>
        <v>5392033</v>
      </c>
      <c r="C9" s="447">
        <f>+Divisions!C64</f>
        <v>1601847.4600000002</v>
      </c>
      <c r="D9" s="447">
        <f>+'Spring 2023'!I81</f>
        <v>16832</v>
      </c>
      <c r="E9" s="448">
        <f>SUM(B9:D9)</f>
        <v>7010712.46</v>
      </c>
    </row>
    <row r="10" spans="1:8" hidden="1" x14ac:dyDescent="0.3">
      <c r="A10" s="446" t="str">
        <f>+'Spring 2023'!K8</f>
        <v xml:space="preserve">Actual 2018  </v>
      </c>
      <c r="B10" s="449">
        <f>+'Spring 2023'!K77+'Spring 2023'!K78</f>
        <v>5552760</v>
      </c>
      <c r="C10" s="449">
        <f>+Divisions!$D64</f>
        <v>2153165.7400000002</v>
      </c>
      <c r="D10" s="449">
        <f>+'Spring 2023'!K81</f>
        <v>18853.04</v>
      </c>
      <c r="E10" s="449">
        <f>SUM(B10:D10)</f>
        <v>7724778.7800000003</v>
      </c>
    </row>
    <row r="11" spans="1:8" hidden="1" x14ac:dyDescent="0.3">
      <c r="A11" s="446" t="str">
        <f>+'Spring 2023'!S8</f>
        <v>Actual 2019</v>
      </c>
      <c r="B11" s="449">
        <f>+'Spring 2023'!S77+'Spring 2023'!S78</f>
        <v>5371235.5700000003</v>
      </c>
      <c r="C11" s="449">
        <f>+Divisions!E64</f>
        <v>1563354.06</v>
      </c>
      <c r="D11" s="449">
        <f>+'Spring 2023'!S81</f>
        <v>19371</v>
      </c>
      <c r="E11" s="449">
        <f t="shared" ref="E11:E20" si="0">SUM(B11:D11)</f>
        <v>6953960.6300000008</v>
      </c>
    </row>
    <row r="12" spans="1:8" hidden="1" x14ac:dyDescent="0.3">
      <c r="A12" s="446" t="str">
        <f>+'Spring 2023'!T8</f>
        <v>Actual 2020</v>
      </c>
      <c r="B12" s="449">
        <f>+'Spring 2023'!T77+'Spring 2023'!T78</f>
        <v>3270931</v>
      </c>
      <c r="C12" s="449">
        <f>+Divisions!F64</f>
        <v>2255853.5700000003</v>
      </c>
      <c r="D12" s="449">
        <f>+'Spring 2023'!T81</f>
        <v>19199</v>
      </c>
      <c r="E12" s="449">
        <f t="shared" si="0"/>
        <v>5545983.5700000003</v>
      </c>
    </row>
    <row r="13" spans="1:8" x14ac:dyDescent="0.3">
      <c r="A13" s="446" t="str">
        <f>+'Spring 2023'!U8</f>
        <v>Actual 2021</v>
      </c>
      <c r="B13" s="449">
        <f>+'Spring 2023'!U77+'Spring 2023'!U78</f>
        <v>2976450.41</v>
      </c>
      <c r="C13" s="449">
        <f>+Divisions!G64</f>
        <v>1011561.3400000001</v>
      </c>
      <c r="D13" s="449">
        <f>+'Spring 2023'!U81</f>
        <v>18777.62</v>
      </c>
      <c r="E13" s="449">
        <f t="shared" si="0"/>
        <v>4006789.37</v>
      </c>
    </row>
    <row r="14" spans="1:8" x14ac:dyDescent="0.3">
      <c r="A14" s="446" t="str">
        <f>+'Spring 2023'!V8</f>
        <v>Actual 2022</v>
      </c>
      <c r="B14" s="450">
        <f>+'Spring 2023'!V77+'Spring 2023'!V78+'Spring 2023'!V79</f>
        <v>3995680.52</v>
      </c>
      <c r="C14" s="450">
        <f>+Divisions!H64</f>
        <v>1856743.5</v>
      </c>
      <c r="D14" s="450">
        <f>+'Spring 2023'!V81</f>
        <v>19211.91</v>
      </c>
      <c r="E14" s="450">
        <f>SUM(B14:D14)</f>
        <v>5871635.9299999997</v>
      </c>
    </row>
    <row r="15" spans="1:8" hidden="1" x14ac:dyDescent="0.3">
      <c r="A15" s="446" t="str">
        <f>+'Spring 2023'!W8</f>
        <v>Budget 2022</v>
      </c>
      <c r="B15" s="449">
        <f>+'Spring 2023'!W77+'Spring 2023'!W78+'Spring 2023'!W79</f>
        <v>4522105.085</v>
      </c>
      <c r="C15" s="449">
        <f>+Divisions!I64</f>
        <v>1883552.99</v>
      </c>
      <c r="D15" s="449">
        <f>+'Spring 2023'!W81</f>
        <v>17384</v>
      </c>
      <c r="E15" s="449">
        <f t="shared" si="0"/>
        <v>6423042.0750000002</v>
      </c>
    </row>
    <row r="16" spans="1:8" x14ac:dyDescent="0.3">
      <c r="A16" s="446" t="str">
        <f>+'Spring 2023'!X8</f>
        <v>Budget 2023</v>
      </c>
      <c r="B16" s="450">
        <f>SUM('Spring 2023'!X77:X79)</f>
        <v>4535140.8</v>
      </c>
      <c r="C16" s="450">
        <f>+Divisions!J64</f>
        <v>1346046.8800000001</v>
      </c>
      <c r="D16" s="450">
        <f>+'Spring 2023'!X81</f>
        <v>18274</v>
      </c>
      <c r="E16" s="450">
        <f t="shared" si="0"/>
        <v>5899461.6799999997</v>
      </c>
    </row>
    <row r="17" spans="1:5" x14ac:dyDescent="0.3">
      <c r="A17" s="446" t="str">
        <f>+'Spring 2023'!Y8</f>
        <v>Budget 2024</v>
      </c>
      <c r="B17" s="449">
        <f>SUM('Spring 2023'!Y77:Y79)</f>
        <v>4225458.0000000019</v>
      </c>
      <c r="C17" s="449">
        <f>+Divisions!K64</f>
        <v>1976523.0000000009</v>
      </c>
      <c r="D17" s="449">
        <f>+'Spring 2023'!Y81</f>
        <v>18670.000000000004</v>
      </c>
      <c r="E17" s="449">
        <f t="shared" si="0"/>
        <v>6220651.0000000028</v>
      </c>
    </row>
    <row r="18" spans="1:5" x14ac:dyDescent="0.3">
      <c r="A18" s="446" t="str">
        <f>+'Spring 2023'!Z8</f>
        <v>Plan 2025</v>
      </c>
      <c r="B18" s="449">
        <f>SUM('Spring 2023'!Z77:Z79)</f>
        <v>4695042.3232500004</v>
      </c>
      <c r="C18" s="449">
        <f>+Divisions!L64</f>
        <v>1484227.9956574999</v>
      </c>
      <c r="D18" s="449">
        <f>+'Spring 2023'!Z81</f>
        <v>22560.52</v>
      </c>
      <c r="E18" s="449">
        <f t="shared" si="0"/>
        <v>6201830.8389074998</v>
      </c>
    </row>
    <row r="19" spans="1:5" x14ac:dyDescent="0.3">
      <c r="A19" s="446" t="str">
        <f>+'Spring 2023'!AA8</f>
        <v>Plan 2026</v>
      </c>
      <c r="B19" s="449">
        <f>SUM('Spring 2023'!AA77:AA79)</f>
        <v>4916030.6543460051</v>
      </c>
      <c r="C19" s="449">
        <f>+Divisions!M64</f>
        <v>2166850.5277790753</v>
      </c>
      <c r="D19" s="449">
        <f>+'Spring 2023'!AA81</f>
        <v>22560.52</v>
      </c>
      <c r="E19" s="449">
        <f>SUM(B19:D19)</f>
        <v>7105441.7021250799</v>
      </c>
    </row>
    <row r="20" spans="1:5" x14ac:dyDescent="0.3">
      <c r="A20" s="446" t="str">
        <f>+'Spring 2023'!AB8</f>
        <v>Plan 2027</v>
      </c>
      <c r="B20" s="451">
        <f>SUM('Spring 2023'!AB77:AB79)</f>
        <v>4294848.7243057285</v>
      </c>
      <c r="C20" s="451">
        <f>+Divisions!N64</f>
        <v>1566216.8838998657</v>
      </c>
      <c r="D20" s="451">
        <f>+'Spring 2023'!AB81</f>
        <v>22560.52</v>
      </c>
      <c r="E20" s="451">
        <f t="shared" si="0"/>
        <v>5883626.1282055937</v>
      </c>
    </row>
    <row r="21" spans="1:5" x14ac:dyDescent="0.3">
      <c r="A21" s="446"/>
      <c r="B21" s="449"/>
      <c r="C21" s="449"/>
      <c r="D21" s="449"/>
      <c r="E21" s="449"/>
    </row>
    <row r="22" spans="1:5" ht="15" thickBot="1" x14ac:dyDescent="0.35">
      <c r="A22" s="446"/>
      <c r="B22" s="452">
        <f>SUM(B9:B21)</f>
        <v>53747716.086901732</v>
      </c>
      <c r="C22" s="452">
        <f>SUM(C9:C21)</f>
        <v>20865943.947336443</v>
      </c>
      <c r="D22" s="452">
        <f>SUM(D9:D21)</f>
        <v>234254.12999999998</v>
      </c>
      <c r="E22" s="452">
        <f>SUM(E9:E21)</f>
        <v>74847914.164238185</v>
      </c>
    </row>
    <row r="23" spans="1:5" ht="15" thickTop="1" x14ac:dyDescent="0.3">
      <c r="A23" s="446"/>
      <c r="B23" s="449"/>
      <c r="C23" s="449"/>
      <c r="D23" s="449"/>
      <c r="E23" s="449"/>
    </row>
    <row r="24" spans="1:5" ht="15" thickBot="1" x14ac:dyDescent="0.35">
      <c r="A24" s="446"/>
      <c r="B24" s="453">
        <f>+B22/E22</f>
        <v>0.71809237020237526</v>
      </c>
      <c r="C24" s="453">
        <f>+C22/E22</f>
        <v>0.27877789488629529</v>
      </c>
      <c r="D24" s="453">
        <f>+D22/E22</f>
        <v>3.1297349113293656E-3</v>
      </c>
      <c r="E24" s="454">
        <f>SUM(B24:C24)</f>
        <v>0.99687026508867049</v>
      </c>
    </row>
    <row r="25" spans="1:5" ht="15" thickTop="1" x14ac:dyDescent="0.3">
      <c r="A25" s="446"/>
      <c r="B25" s="446"/>
      <c r="C25" s="446"/>
      <c r="D25" s="446"/>
      <c r="E25" s="446"/>
    </row>
    <row r="26" spans="1:5" x14ac:dyDescent="0.3">
      <c r="A26" s="446"/>
      <c r="B26" s="446"/>
      <c r="C26" s="446"/>
      <c r="D26" s="446"/>
      <c r="E26" s="446"/>
    </row>
    <row r="27" spans="1:5" x14ac:dyDescent="0.3">
      <c r="A27" s="446"/>
      <c r="B27" s="446"/>
      <c r="C27" s="446"/>
      <c r="D27" s="446"/>
      <c r="E27" s="446"/>
    </row>
    <row r="28" spans="1:5" x14ac:dyDescent="0.3">
      <c r="A28" s="446" t="s">
        <v>174</v>
      </c>
      <c r="B28" s="446"/>
      <c r="C28" s="446"/>
      <c r="D28" s="446"/>
      <c r="E28" s="446"/>
    </row>
  </sheetData>
  <mergeCells count="3">
    <mergeCell ref="A1:E1"/>
    <mergeCell ref="A2:E2"/>
    <mergeCell ref="A3:E3"/>
  </mergeCells>
  <pageMargins left="0.7" right="0.7" top="0.75" bottom="0.75" header="0.3" footer="0.3"/>
  <pageSetup scale="97" orientation="portrait" horizontalDpi="4294967293" verticalDpi="24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A118-44F3-4CB7-945A-26E7E4D459AB}">
  <sheetPr>
    <pageSetUpPr fitToPage="1"/>
  </sheetPr>
  <dimension ref="A2:O75"/>
  <sheetViews>
    <sheetView zoomScale="70" zoomScaleNormal="70" workbookViewId="0">
      <pane xSplit="2" ySplit="7" topLeftCell="G8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8.6640625" customWidth="1"/>
    <col min="2" max="2" width="63.88671875" customWidth="1"/>
    <col min="3" max="6" width="15.6640625" hidden="1" customWidth="1"/>
    <col min="7" max="7" width="15.6640625" customWidth="1"/>
    <col min="8" max="8" width="25.33203125" customWidth="1"/>
    <col min="9" max="9" width="15.6640625" hidden="1" customWidth="1"/>
    <col min="10" max="14" width="15.6640625" customWidth="1"/>
    <col min="16" max="16" width="11.33203125" customWidth="1"/>
    <col min="17" max="17" width="13.33203125" bestFit="1" customWidth="1"/>
  </cols>
  <sheetData>
    <row r="2" spans="1:15" ht="22.8" x14ac:dyDescent="0.4">
      <c r="A2" s="1" t="s">
        <v>71</v>
      </c>
      <c r="B2" s="1"/>
    </row>
    <row r="3" spans="1:15" ht="21" x14ac:dyDescent="0.4">
      <c r="A3" s="7" t="s">
        <v>1</v>
      </c>
      <c r="B3" s="7"/>
    </row>
    <row r="4" spans="1:15" ht="15.6" x14ac:dyDescent="0.3">
      <c r="A4" s="15" t="str">
        <f>+'Spring 2023'!A4</f>
        <v>5 Year Plan FY 2023-2027</v>
      </c>
      <c r="B4" s="15"/>
    </row>
    <row r="7" spans="1:15" x14ac:dyDescent="0.3">
      <c r="C7" s="301" t="s">
        <v>11</v>
      </c>
      <c r="D7" s="301" t="s">
        <v>65</v>
      </c>
      <c r="E7" s="301" t="s">
        <v>70</v>
      </c>
      <c r="F7" s="301" t="s">
        <v>145</v>
      </c>
      <c r="G7" s="301" t="str">
        <f>+'Detailed GF version'!U7</f>
        <v>Actual 2021</v>
      </c>
      <c r="H7" s="301" t="str">
        <f>+'Spring 2023'!V8</f>
        <v>Actual 2022</v>
      </c>
      <c r="I7" s="301" t="s">
        <v>74</v>
      </c>
      <c r="J7" s="301" t="str">
        <f>+'Detailed GF version'!Z7</f>
        <v>Budget 2023</v>
      </c>
      <c r="K7" s="301" t="str">
        <f>+'Detailed GF version'!AA7</f>
        <v>Budget 2024</v>
      </c>
      <c r="L7" s="301" t="s">
        <v>73</v>
      </c>
      <c r="M7" s="301" t="s">
        <v>72</v>
      </c>
      <c r="N7" s="301" t="s">
        <v>163</v>
      </c>
    </row>
    <row r="9" spans="1:15" x14ac:dyDescent="0.3">
      <c r="A9" s="302" t="s">
        <v>88</v>
      </c>
      <c r="B9" s="302"/>
    </row>
    <row r="10" spans="1:15" x14ac:dyDescent="0.3">
      <c r="A10" s="320" t="s">
        <v>78</v>
      </c>
      <c r="B10" s="321" t="s">
        <v>89</v>
      </c>
      <c r="C10" s="305">
        <v>455506.97</v>
      </c>
      <c r="D10" s="305">
        <v>1652454.57</v>
      </c>
      <c r="E10" s="305">
        <v>421232.6</v>
      </c>
      <c r="F10" s="305">
        <v>1748027.97</v>
      </c>
      <c r="G10" s="305">
        <v>390820.11</v>
      </c>
      <c r="H10" s="305">
        <v>1285617.9599999997</v>
      </c>
      <c r="I10" s="305">
        <v>1561030</v>
      </c>
      <c r="J10" s="305">
        <v>669877.99999999895</v>
      </c>
      <c r="K10" s="305">
        <v>1865494</v>
      </c>
      <c r="L10" s="305">
        <v>709179</v>
      </c>
      <c r="M10" s="305">
        <v>2047261</v>
      </c>
      <c r="N10" s="305">
        <v>752292</v>
      </c>
    </row>
    <row r="11" spans="1:15" x14ac:dyDescent="0.3">
      <c r="A11" s="320" t="s">
        <v>79</v>
      </c>
      <c r="B11" s="321" t="s">
        <v>91</v>
      </c>
      <c r="C11" s="318">
        <v>5368999.2400000002</v>
      </c>
      <c r="D11" s="318">
        <v>2691183.12</v>
      </c>
      <c r="E11" s="318">
        <v>5115731.3099999996</v>
      </c>
      <c r="F11" s="318">
        <v>1639618.7499999995</v>
      </c>
      <c r="G11" s="318">
        <v>3229957.85</v>
      </c>
      <c r="H11" s="318">
        <v>2086386.6400000001</v>
      </c>
      <c r="I11" s="318">
        <v>2211555</v>
      </c>
      <c r="J11" s="318">
        <v>4348923</v>
      </c>
      <c r="K11" s="431">
        <v>2323681.9999999991</v>
      </c>
      <c r="L11" s="431">
        <v>4451985.8</v>
      </c>
      <c r="M11" s="318">
        <v>2467270.7399999998</v>
      </c>
      <c r="N11" s="318">
        <v>4799148.2769999998</v>
      </c>
    </row>
    <row r="12" spans="1:15" x14ac:dyDescent="0.3">
      <c r="A12" s="320" t="s">
        <v>80</v>
      </c>
      <c r="B12" s="321" t="s">
        <v>90</v>
      </c>
      <c r="C12" s="318">
        <v>1602279.71</v>
      </c>
      <c r="D12" s="318">
        <v>2086863.26</v>
      </c>
      <c r="E12" s="318">
        <v>2028593.41</v>
      </c>
      <c r="F12" s="318">
        <v>2233212.3400000003</v>
      </c>
      <c r="G12" s="318">
        <v>2230443.0099999998</v>
      </c>
      <c r="H12" s="318">
        <v>2325914.6399999997</v>
      </c>
      <c r="I12" s="318">
        <v>1434844</v>
      </c>
      <c r="J12" s="318">
        <v>1584516</v>
      </c>
      <c r="K12" s="431">
        <v>1717841.0000000002</v>
      </c>
      <c r="L12" s="431">
        <v>1659274</v>
      </c>
      <c r="M12" s="318">
        <v>1549602</v>
      </c>
      <c r="N12" s="318">
        <v>1741542</v>
      </c>
    </row>
    <row r="13" spans="1:15" x14ac:dyDescent="0.3">
      <c r="A13" s="320" t="s">
        <v>81</v>
      </c>
      <c r="B13" s="321" t="s">
        <v>97</v>
      </c>
      <c r="C13" s="318">
        <v>58093.88</v>
      </c>
      <c r="D13" s="318">
        <v>68926.14</v>
      </c>
      <c r="E13" s="318">
        <v>90018</v>
      </c>
      <c r="F13" s="318">
        <v>81168.69</v>
      </c>
      <c r="G13" s="318">
        <v>37834.959999999999</v>
      </c>
      <c r="H13" s="318">
        <v>0</v>
      </c>
      <c r="I13" s="318">
        <v>0</v>
      </c>
      <c r="J13" s="318">
        <v>0</v>
      </c>
      <c r="K13" s="318">
        <v>0</v>
      </c>
      <c r="L13" s="318">
        <f>+J13</f>
        <v>0</v>
      </c>
      <c r="M13" s="318">
        <f>+J13</f>
        <v>0</v>
      </c>
      <c r="N13" s="318">
        <f>+K13</f>
        <v>0</v>
      </c>
      <c r="O13" t="s">
        <v>144</v>
      </c>
    </row>
    <row r="14" spans="1:15" x14ac:dyDescent="0.3">
      <c r="A14" s="320" t="s">
        <v>82</v>
      </c>
      <c r="B14" s="321" t="s">
        <v>96</v>
      </c>
      <c r="C14" s="318">
        <v>2940494.04</v>
      </c>
      <c r="D14" s="318">
        <v>2813282.75</v>
      </c>
      <c r="E14" s="318">
        <v>2520863.36</v>
      </c>
      <c r="F14" s="318">
        <v>2435934.16</v>
      </c>
      <c r="G14" s="318">
        <v>2327414.6800000002</v>
      </c>
      <c r="H14" s="318">
        <v>2314050.2600000002</v>
      </c>
      <c r="I14" s="318">
        <v>2246444</v>
      </c>
      <c r="J14" s="318">
        <v>2251395</v>
      </c>
      <c r="K14" s="318">
        <v>2337115.0000000014</v>
      </c>
      <c r="L14" s="318">
        <v>2386176.571</v>
      </c>
      <c r="M14" s="318">
        <v>2430736.0587100005</v>
      </c>
      <c r="N14" s="318">
        <v>2483371.9916971</v>
      </c>
    </row>
    <row r="15" spans="1:15" x14ac:dyDescent="0.3">
      <c r="A15" s="320" t="s">
        <v>87</v>
      </c>
      <c r="B15" s="321" t="s">
        <v>98</v>
      </c>
      <c r="C15" s="318">
        <v>1218661</v>
      </c>
      <c r="D15" s="318">
        <v>1169683.3700000001</v>
      </c>
      <c r="E15" s="318">
        <v>1066873.1100000001</v>
      </c>
      <c r="F15" s="318">
        <f>478912.59+220254.22+159181.53</f>
        <v>858348.34000000008</v>
      </c>
      <c r="G15" s="318">
        <v>668748.88</v>
      </c>
      <c r="H15" s="318">
        <v>589382.52</v>
      </c>
      <c r="I15" s="318">
        <v>909800</v>
      </c>
      <c r="J15" s="318">
        <v>977800</v>
      </c>
      <c r="K15" s="318">
        <v>858097.99999999953</v>
      </c>
      <c r="L15" s="318">
        <v>1078025</v>
      </c>
      <c r="M15" s="318">
        <v>1131926</v>
      </c>
      <c r="N15" s="318">
        <v>1188522</v>
      </c>
    </row>
    <row r="16" spans="1:15" x14ac:dyDescent="0.3">
      <c r="A16" s="320" t="s">
        <v>83</v>
      </c>
      <c r="B16" s="321" t="s">
        <v>92</v>
      </c>
      <c r="C16" s="318">
        <v>931671.29</v>
      </c>
      <c r="D16" s="318">
        <v>4449518.1500000004</v>
      </c>
      <c r="E16" s="318">
        <v>874736.26</v>
      </c>
      <c r="F16" s="318">
        <v>5036102.1499999994</v>
      </c>
      <c r="G16" s="318">
        <v>748666.53</v>
      </c>
      <c r="H16" s="318">
        <v>3773730.67</v>
      </c>
      <c r="I16" s="318">
        <v>3915999.9999999991</v>
      </c>
      <c r="J16" s="318">
        <v>797748</v>
      </c>
      <c r="K16" s="318">
        <v>3835854.9999999967</v>
      </c>
      <c r="L16" s="318">
        <v>833564</v>
      </c>
      <c r="M16" s="318">
        <v>4460331</v>
      </c>
      <c r="N16" s="318">
        <v>899045</v>
      </c>
    </row>
    <row r="17" spans="1:14" x14ac:dyDescent="0.3">
      <c r="A17" s="320" t="s">
        <v>84</v>
      </c>
      <c r="B17" s="321" t="s">
        <v>93</v>
      </c>
      <c r="C17" s="318">
        <v>319148.03000000003</v>
      </c>
      <c r="D17" s="318">
        <v>306259.71000000002</v>
      </c>
      <c r="E17" s="318">
        <v>297176.94</v>
      </c>
      <c r="F17" s="318">
        <v>321359.29000000004</v>
      </c>
      <c r="G17" s="318">
        <v>320816.90999999997</v>
      </c>
      <c r="H17" s="318">
        <v>302335.20999999996</v>
      </c>
      <c r="I17" s="318">
        <v>314250</v>
      </c>
      <c r="J17" s="318">
        <v>310650</v>
      </c>
      <c r="K17" s="318">
        <v>316570</v>
      </c>
      <c r="L17" s="318">
        <v>324397</v>
      </c>
      <c r="M17" s="318">
        <v>329398</v>
      </c>
      <c r="N17" s="318">
        <v>335484</v>
      </c>
    </row>
    <row r="18" spans="1:14" x14ac:dyDescent="0.3">
      <c r="A18" s="320" t="s">
        <v>85</v>
      </c>
      <c r="B18" s="321" t="s">
        <v>95</v>
      </c>
      <c r="C18" s="318">
        <v>371012.48</v>
      </c>
      <c r="D18" s="318">
        <v>355719.97</v>
      </c>
      <c r="E18" s="318">
        <v>380269.21</v>
      </c>
      <c r="F18" s="318">
        <v>105882.45999999998</v>
      </c>
      <c r="G18" s="318">
        <v>402729.84</v>
      </c>
      <c r="H18" s="318">
        <v>391845.7</v>
      </c>
      <c r="I18" s="318">
        <v>383100</v>
      </c>
      <c r="J18" s="318">
        <v>452600</v>
      </c>
      <c r="K18" s="318">
        <v>467100.00000000006</v>
      </c>
      <c r="L18" s="318">
        <v>547646.00000000012</v>
      </c>
      <c r="M18" s="318">
        <v>591457.68000000017</v>
      </c>
      <c r="N18" s="318">
        <v>638774.29440000025</v>
      </c>
    </row>
    <row r="19" spans="1:14" x14ac:dyDescent="0.3">
      <c r="A19" s="320" t="s">
        <v>86</v>
      </c>
      <c r="B19" s="321" t="s">
        <v>94</v>
      </c>
      <c r="C19" s="319">
        <v>540112.06000000006</v>
      </c>
      <c r="D19" s="319">
        <v>688772.84</v>
      </c>
      <c r="E19" s="319">
        <v>639057.55000000005</v>
      </c>
      <c r="F19" s="319">
        <v>544497.92999999993</v>
      </c>
      <c r="G19" s="319">
        <v>416312.73</v>
      </c>
      <c r="H19" s="319">
        <v>439107.87</v>
      </c>
      <c r="I19" s="319">
        <v>581927</v>
      </c>
      <c r="J19" s="319">
        <v>581927</v>
      </c>
      <c r="K19" s="319">
        <v>584500</v>
      </c>
      <c r="L19" s="319">
        <v>771767</v>
      </c>
      <c r="M19" s="319">
        <v>824724</v>
      </c>
      <c r="N19" s="319">
        <v>874724</v>
      </c>
    </row>
    <row r="20" spans="1:14" x14ac:dyDescent="0.3"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</row>
    <row r="21" spans="1:14" x14ac:dyDescent="0.3">
      <c r="A21" s="322" t="s">
        <v>101</v>
      </c>
      <c r="C21" s="318">
        <f t="shared" ref="C21:N21" si="0">SUM(C10:C20)</f>
        <v>13805978.699999999</v>
      </c>
      <c r="D21" s="318">
        <f t="shared" si="0"/>
        <v>16282663.880000003</v>
      </c>
      <c r="E21" s="318">
        <f t="shared" si="0"/>
        <v>13434551.75</v>
      </c>
      <c r="F21" s="318">
        <f t="shared" si="0"/>
        <v>15004152.080000002</v>
      </c>
      <c r="G21" s="318">
        <f t="shared" si="0"/>
        <v>10773745.5</v>
      </c>
      <c r="H21" s="318">
        <f t="shared" si="0"/>
        <v>13508371.469999997</v>
      </c>
      <c r="I21" s="318">
        <f t="shared" si="0"/>
        <v>13558950</v>
      </c>
      <c r="J21" s="318">
        <f t="shared" si="0"/>
        <v>11975437</v>
      </c>
      <c r="K21" s="318">
        <f t="shared" si="0"/>
        <v>14306254.999999996</v>
      </c>
      <c r="L21" s="318">
        <f t="shared" si="0"/>
        <v>12762014.370999999</v>
      </c>
      <c r="M21" s="318">
        <f t="shared" si="0"/>
        <v>15832706.478709999</v>
      </c>
      <c r="N21" s="318">
        <f t="shared" si="0"/>
        <v>13712903.563097101</v>
      </c>
    </row>
    <row r="22" spans="1:14" x14ac:dyDescent="0.3"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</row>
    <row r="23" spans="1:14" x14ac:dyDescent="0.3">
      <c r="A23" s="302" t="s">
        <v>100</v>
      </c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</row>
    <row r="24" spans="1:14" x14ac:dyDescent="0.3">
      <c r="A24" s="320" t="s">
        <v>78</v>
      </c>
      <c r="B24" s="321" t="s">
        <v>89</v>
      </c>
      <c r="C24" s="318">
        <v>1050102.1599999999</v>
      </c>
      <c r="D24" s="318">
        <v>1529747.16</v>
      </c>
      <c r="E24" s="318">
        <v>689868.75</v>
      </c>
      <c r="F24" s="318">
        <v>1740344.79</v>
      </c>
      <c r="G24" s="318">
        <v>543221.79</v>
      </c>
      <c r="H24" s="437">
        <v>1250819.1800000002</v>
      </c>
      <c r="I24" s="273">
        <v>1484612</v>
      </c>
      <c r="J24" s="437">
        <v>598764.29343360499</v>
      </c>
      <c r="K24" s="273">
        <v>1819901.701808257</v>
      </c>
      <c r="L24" s="273">
        <v>708332.7</v>
      </c>
      <c r="M24" s="318">
        <v>1742188</v>
      </c>
      <c r="N24" s="318">
        <v>751893</v>
      </c>
    </row>
    <row r="25" spans="1:14" x14ac:dyDescent="0.3">
      <c r="A25" s="320" t="s">
        <v>79</v>
      </c>
      <c r="B25" s="321" t="s">
        <v>91</v>
      </c>
      <c r="C25" s="318">
        <v>4820437.6900000004</v>
      </c>
      <c r="D25" s="318">
        <v>3423870.12</v>
      </c>
      <c r="E25" s="318">
        <v>5234167.58</v>
      </c>
      <c r="F25" s="318">
        <v>2370052.3000000007</v>
      </c>
      <c r="G25" s="318">
        <v>2443625.25</v>
      </c>
      <c r="H25" s="437">
        <v>2235576.3899999997</v>
      </c>
      <c r="I25" s="273">
        <v>2941392</v>
      </c>
      <c r="J25" s="437">
        <v>4253403.1774625797</v>
      </c>
      <c r="K25" s="318">
        <v>2881779.3234276031</v>
      </c>
      <c r="L25" s="318">
        <v>4063893.6896000002</v>
      </c>
      <c r="M25" s="318">
        <v>2659497.5033919998</v>
      </c>
      <c r="N25" s="318">
        <v>3902694.7674598405</v>
      </c>
    </row>
    <row r="26" spans="1:14" x14ac:dyDescent="0.3">
      <c r="A26" s="320" t="s">
        <v>80</v>
      </c>
      <c r="B26" s="321" t="s">
        <v>90</v>
      </c>
      <c r="C26" s="318">
        <v>1310129.675</v>
      </c>
      <c r="D26" s="318">
        <v>1453441.93</v>
      </c>
      <c r="E26" s="318">
        <v>1723287.31</v>
      </c>
      <c r="F26" s="318">
        <v>1433265.7800000003</v>
      </c>
      <c r="G26" s="318">
        <v>1368306.05</v>
      </c>
      <c r="H26" s="360">
        <v>1419222.19</v>
      </c>
      <c r="I26" s="360">
        <v>1262420</v>
      </c>
      <c r="J26" s="360">
        <v>1234577.02793627</v>
      </c>
      <c r="K26" s="360">
        <v>1713748.7990714654</v>
      </c>
      <c r="L26" s="360">
        <v>1406084</v>
      </c>
      <c r="M26" s="360">
        <v>1427245</v>
      </c>
      <c r="N26" s="360">
        <v>1531469</v>
      </c>
    </row>
    <row r="27" spans="1:14" x14ac:dyDescent="0.3">
      <c r="A27" s="320" t="s">
        <v>81</v>
      </c>
      <c r="B27" s="321" t="s">
        <v>97</v>
      </c>
      <c r="C27" s="318">
        <v>64046.57</v>
      </c>
      <c r="D27" s="318">
        <v>39991.300000000003</v>
      </c>
      <c r="E27" s="318">
        <v>116482.67</v>
      </c>
      <c r="F27" s="318">
        <v>68949.52</v>
      </c>
      <c r="G27" s="318">
        <v>30511.97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</row>
    <row r="28" spans="1:14" x14ac:dyDescent="0.3">
      <c r="A28" s="320" t="s">
        <v>82</v>
      </c>
      <c r="B28" s="321" t="s">
        <v>96</v>
      </c>
      <c r="C28" s="318">
        <v>3055258.43</v>
      </c>
      <c r="D28" s="318">
        <v>2945284.1</v>
      </c>
      <c r="E28" s="318">
        <v>2698853.54</v>
      </c>
      <c r="F28" s="318">
        <v>2420452.8199999994</v>
      </c>
      <c r="G28" s="318">
        <v>1990630.81</v>
      </c>
      <c r="H28" s="318">
        <v>2159568.59</v>
      </c>
      <c r="I28" s="318">
        <v>2456389</v>
      </c>
      <c r="J28" s="318">
        <v>2281625.3517120802</v>
      </c>
      <c r="K28" s="360">
        <v>2316523.053316433</v>
      </c>
      <c r="L28" s="360">
        <v>2381736.0756575</v>
      </c>
      <c r="M28" s="360">
        <v>2420029.981379075</v>
      </c>
      <c r="N28" s="360">
        <v>2460041.8115718658</v>
      </c>
    </row>
    <row r="29" spans="1:14" x14ac:dyDescent="0.3">
      <c r="A29" s="320" t="s">
        <v>87</v>
      </c>
      <c r="B29" s="321" t="s">
        <v>98</v>
      </c>
      <c r="C29" s="318">
        <v>1135264</v>
      </c>
      <c r="D29" s="318">
        <v>1108120.26</v>
      </c>
      <c r="E29" s="318">
        <v>1076949.21</v>
      </c>
      <c r="F29" s="318">
        <f>492490.37+241582.9+263864.5</f>
        <v>997937.77</v>
      </c>
      <c r="G29" s="318">
        <v>676003.88</v>
      </c>
      <c r="H29" s="318">
        <v>633637.83000000007</v>
      </c>
      <c r="I29" s="318">
        <v>922969</v>
      </c>
      <c r="J29" s="318">
        <v>951631.81311878294</v>
      </c>
      <c r="K29" s="318">
        <v>821495.79551510711</v>
      </c>
      <c r="L29" s="318">
        <v>1072414</v>
      </c>
      <c r="M29" s="318">
        <v>1122276</v>
      </c>
      <c r="N29" s="318">
        <v>1174481</v>
      </c>
    </row>
    <row r="30" spans="1:14" x14ac:dyDescent="0.3">
      <c r="A30" s="320" t="s">
        <v>83</v>
      </c>
      <c r="B30" s="321" t="s">
        <v>92</v>
      </c>
      <c r="C30" s="318">
        <v>1342396.915</v>
      </c>
      <c r="D30" s="318">
        <v>3636972.74</v>
      </c>
      <c r="E30" s="318">
        <v>1197801.48</v>
      </c>
      <c r="F30" s="318">
        <v>3864505.54</v>
      </c>
      <c r="G30" s="318">
        <v>906622.36</v>
      </c>
      <c r="H30" s="318">
        <v>2946625.5300000003</v>
      </c>
      <c r="I30" s="318">
        <v>3064252</v>
      </c>
      <c r="J30" s="318">
        <v>1213223.5766087801</v>
      </c>
      <c r="K30" s="318">
        <v>3186421.2224576059</v>
      </c>
      <c r="L30" s="318">
        <v>1395091</v>
      </c>
      <c r="M30" s="318">
        <v>3641338</v>
      </c>
      <c r="N30" s="318">
        <v>1505324</v>
      </c>
    </row>
    <row r="31" spans="1:14" x14ac:dyDescent="0.3">
      <c r="A31" s="320" t="s">
        <v>84</v>
      </c>
      <c r="B31" s="321" t="s">
        <v>93</v>
      </c>
      <c r="C31" s="318">
        <v>412067.7</v>
      </c>
      <c r="D31" s="318">
        <v>406545.73</v>
      </c>
      <c r="E31" s="318">
        <v>349592.62</v>
      </c>
      <c r="F31" s="318">
        <v>383951.44000000006</v>
      </c>
      <c r="G31" s="318">
        <v>336283.05</v>
      </c>
      <c r="H31" s="318">
        <v>267480.79000000004</v>
      </c>
      <c r="I31" s="318">
        <v>309016</v>
      </c>
      <c r="J31" s="318">
        <v>289577.37501611898</v>
      </c>
      <c r="K31" s="318">
        <v>289241.21607868571</v>
      </c>
      <c r="L31" s="318">
        <v>294468</v>
      </c>
      <c r="M31" s="318">
        <v>302536</v>
      </c>
      <c r="N31" s="318">
        <v>310833</v>
      </c>
    </row>
    <row r="32" spans="1:14" x14ac:dyDescent="0.3">
      <c r="A32" s="320" t="s">
        <v>85</v>
      </c>
      <c r="B32" s="321" t="s">
        <v>95</v>
      </c>
      <c r="C32" s="318">
        <v>368823.11499999999</v>
      </c>
      <c r="D32" s="318">
        <v>345971.84</v>
      </c>
      <c r="E32" s="318">
        <v>393752.67</v>
      </c>
      <c r="F32" s="318">
        <v>349522.42999999993</v>
      </c>
      <c r="G32" s="318">
        <v>239310.89</v>
      </c>
      <c r="H32" s="318">
        <v>300552.34999999998</v>
      </c>
      <c r="I32" s="318">
        <v>374432</v>
      </c>
      <c r="J32" s="318">
        <v>381704.14280180202</v>
      </c>
      <c r="K32" s="318">
        <v>410523.38792048447</v>
      </c>
      <c r="L32" s="318">
        <v>476048.48250000004</v>
      </c>
      <c r="M32" s="318">
        <v>513723.69062500005</v>
      </c>
      <c r="N32" s="318">
        <v>555006.07675625011</v>
      </c>
    </row>
    <row r="33" spans="1:14" x14ac:dyDescent="0.3">
      <c r="A33" s="320" t="s">
        <v>86</v>
      </c>
      <c r="B33" s="321" t="s">
        <v>94</v>
      </c>
      <c r="C33" s="319">
        <v>657798.63</v>
      </c>
      <c r="D33" s="319">
        <v>671856.09</v>
      </c>
      <c r="E33" s="319">
        <v>670307.29</v>
      </c>
      <c r="F33" s="319">
        <v>677071.42999999993</v>
      </c>
      <c r="G33" s="319">
        <v>417731.76</v>
      </c>
      <c r="H33" s="319">
        <v>529432.32000000007</v>
      </c>
      <c r="I33" s="319">
        <v>582741</v>
      </c>
      <c r="J33" s="319">
        <v>411547.89360863803</v>
      </c>
      <c r="K33" s="319">
        <v>584499.68438380491</v>
      </c>
      <c r="L33" s="319">
        <v>713847</v>
      </c>
      <c r="M33" s="319">
        <v>735184</v>
      </c>
      <c r="N33" s="319">
        <v>763724</v>
      </c>
    </row>
    <row r="34" spans="1:14" x14ac:dyDescent="0.3"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3">
      <c r="A35" s="322" t="s">
        <v>102</v>
      </c>
      <c r="C35" s="319">
        <f t="shared" ref="C35:N35" si="1">SUM(C24:C34)</f>
        <v>14216324.885000002</v>
      </c>
      <c r="D35" s="319">
        <f t="shared" si="1"/>
        <v>15561801.27</v>
      </c>
      <c r="E35" s="319">
        <f t="shared" si="1"/>
        <v>14151063.120000001</v>
      </c>
      <c r="F35" s="319">
        <f t="shared" si="1"/>
        <v>14306053.819999998</v>
      </c>
      <c r="G35" s="319">
        <f t="shared" si="1"/>
        <v>8952247.8099999987</v>
      </c>
      <c r="H35" s="319">
        <f t="shared" si="1"/>
        <v>11742915.17</v>
      </c>
      <c r="I35" s="319">
        <f t="shared" si="1"/>
        <v>13398223</v>
      </c>
      <c r="J35" s="319">
        <f t="shared" si="1"/>
        <v>11616054.651698658</v>
      </c>
      <c r="K35" s="319">
        <f t="shared" si="1"/>
        <v>14024134.183979448</v>
      </c>
      <c r="L35" s="319">
        <f t="shared" si="1"/>
        <v>12511914.947757499</v>
      </c>
      <c r="M35" s="319">
        <f t="shared" si="1"/>
        <v>14564018.175396075</v>
      </c>
      <c r="N35" s="319">
        <f t="shared" si="1"/>
        <v>12955466.655787956</v>
      </c>
    </row>
    <row r="36" spans="1:14" x14ac:dyDescent="0.3">
      <c r="B36" s="300"/>
    </row>
    <row r="37" spans="1:14" x14ac:dyDescent="0.3">
      <c r="A37" s="302" t="s">
        <v>155</v>
      </c>
      <c r="B37" s="302"/>
      <c r="C37" s="358"/>
      <c r="D37" s="358"/>
      <c r="E37" s="358"/>
      <c r="F37" s="359"/>
      <c r="G37" s="358"/>
      <c r="I37" s="359"/>
    </row>
    <row r="38" spans="1:14" x14ac:dyDescent="0.3">
      <c r="A38" s="320" t="s">
        <v>78</v>
      </c>
      <c r="B38" s="321" t="s">
        <v>89</v>
      </c>
      <c r="C38" s="358">
        <f>+C10-C24</f>
        <v>-594595.18999999994</v>
      </c>
      <c r="D38" s="358">
        <f t="shared" ref="D38:N38" si="2">+D10-D24</f>
        <v>122707.41000000015</v>
      </c>
      <c r="E38" s="358">
        <f t="shared" si="2"/>
        <v>-268636.15000000002</v>
      </c>
      <c r="F38" s="358">
        <f t="shared" si="2"/>
        <v>7683.1799999999348</v>
      </c>
      <c r="G38" s="428">
        <f t="shared" si="2"/>
        <v>-152401.68000000005</v>
      </c>
      <c r="H38" s="438">
        <f t="shared" ref="H38:H47" si="3">+H10-H24</f>
        <v>34798.779999999562</v>
      </c>
      <c r="I38" s="428">
        <f t="shared" si="2"/>
        <v>76418</v>
      </c>
      <c r="J38" s="438">
        <f t="shared" ref="J38:J47" si="4">+J10-J24</f>
        <v>71113.706566393957</v>
      </c>
      <c r="K38" s="428">
        <f t="shared" si="2"/>
        <v>45592.298191742972</v>
      </c>
      <c r="L38" s="428">
        <f t="shared" si="2"/>
        <v>846.30000000004657</v>
      </c>
      <c r="M38" s="428">
        <f t="shared" ref="M38:M47" si="5">+M10-M24</f>
        <v>305073</v>
      </c>
      <c r="N38" s="428">
        <f t="shared" si="2"/>
        <v>399</v>
      </c>
    </row>
    <row r="39" spans="1:14" x14ac:dyDescent="0.3">
      <c r="A39" s="320" t="s">
        <v>79</v>
      </c>
      <c r="B39" s="321" t="s">
        <v>91</v>
      </c>
      <c r="C39" s="428">
        <f>+C11-C25</f>
        <v>548561.54999999981</v>
      </c>
      <c r="D39" s="428">
        <f t="shared" ref="D39:N39" si="6">+D11-D25</f>
        <v>-732687</v>
      </c>
      <c r="E39" s="428">
        <f t="shared" si="6"/>
        <v>-118436.27000000048</v>
      </c>
      <c r="F39" s="428">
        <f t="shared" si="6"/>
        <v>-730433.55000000121</v>
      </c>
      <c r="G39" s="428">
        <f t="shared" si="6"/>
        <v>786332.60000000009</v>
      </c>
      <c r="H39" s="438">
        <f t="shared" si="3"/>
        <v>-149189.74999999953</v>
      </c>
      <c r="I39" s="428">
        <f t="shared" si="6"/>
        <v>-729837</v>
      </c>
      <c r="J39" s="438">
        <f t="shared" si="4"/>
        <v>95519.822537420318</v>
      </c>
      <c r="K39" s="428">
        <f t="shared" si="6"/>
        <v>-558097.32342760405</v>
      </c>
      <c r="L39" s="428">
        <f t="shared" si="6"/>
        <v>388092.11039999966</v>
      </c>
      <c r="M39" s="428">
        <f t="shared" si="5"/>
        <v>-192226.76339199999</v>
      </c>
      <c r="N39" s="428">
        <f t="shared" si="6"/>
        <v>896453.50954015926</v>
      </c>
    </row>
    <row r="40" spans="1:14" x14ac:dyDescent="0.3">
      <c r="A40" s="320" t="s">
        <v>80</v>
      </c>
      <c r="B40" s="321" t="s">
        <v>90</v>
      </c>
      <c r="C40" s="428">
        <f t="shared" ref="C40:N47" si="7">+C12-C26</f>
        <v>292150.03499999992</v>
      </c>
      <c r="D40" s="428">
        <f t="shared" si="7"/>
        <v>633421.33000000007</v>
      </c>
      <c r="E40" s="428">
        <f t="shared" si="7"/>
        <v>305306.09999999986</v>
      </c>
      <c r="F40" s="428">
        <f t="shared" si="7"/>
        <v>799946.56</v>
      </c>
      <c r="G40" s="428">
        <f t="shared" si="7"/>
        <v>862136.95999999973</v>
      </c>
      <c r="H40" s="438">
        <f t="shared" si="3"/>
        <v>906692.44999999972</v>
      </c>
      <c r="I40" s="428">
        <f t="shared" si="7"/>
        <v>172424</v>
      </c>
      <c r="J40" s="438">
        <f t="shared" si="4"/>
        <v>349938.97206373001</v>
      </c>
      <c r="K40" s="428">
        <f t="shared" si="7"/>
        <v>4092.2009285348468</v>
      </c>
      <c r="L40" s="428">
        <f t="shared" si="7"/>
        <v>253190</v>
      </c>
      <c r="M40" s="428">
        <f t="shared" si="5"/>
        <v>122357</v>
      </c>
      <c r="N40" s="428">
        <f t="shared" si="7"/>
        <v>210073</v>
      </c>
    </row>
    <row r="41" spans="1:14" x14ac:dyDescent="0.3">
      <c r="A41" s="320" t="s">
        <v>81</v>
      </c>
      <c r="B41" s="321" t="s">
        <v>97</v>
      </c>
      <c r="C41" s="428">
        <f t="shared" si="7"/>
        <v>-5952.6900000000023</v>
      </c>
      <c r="D41" s="428">
        <f t="shared" si="7"/>
        <v>28934.839999999997</v>
      </c>
      <c r="E41" s="428">
        <f t="shared" si="7"/>
        <v>-26464.67</v>
      </c>
      <c r="F41" s="428">
        <f t="shared" si="7"/>
        <v>12219.169999999998</v>
      </c>
      <c r="G41" s="428">
        <f t="shared" si="7"/>
        <v>7322.989999999998</v>
      </c>
      <c r="H41" s="438">
        <f t="shared" si="3"/>
        <v>0</v>
      </c>
      <c r="I41" s="428">
        <f t="shared" si="7"/>
        <v>0</v>
      </c>
      <c r="J41" s="438">
        <f t="shared" si="4"/>
        <v>0</v>
      </c>
      <c r="K41" s="428">
        <f t="shared" si="7"/>
        <v>0</v>
      </c>
      <c r="L41" s="428">
        <f t="shared" si="7"/>
        <v>0</v>
      </c>
      <c r="M41" s="428">
        <f t="shared" si="5"/>
        <v>0</v>
      </c>
      <c r="N41" s="428">
        <f t="shared" si="7"/>
        <v>0</v>
      </c>
    </row>
    <row r="42" spans="1:14" x14ac:dyDescent="0.3">
      <c r="A42" s="320" t="s">
        <v>82</v>
      </c>
      <c r="B42" s="321" t="s">
        <v>96</v>
      </c>
      <c r="C42" s="428">
        <f t="shared" si="7"/>
        <v>-114764.39000000013</v>
      </c>
      <c r="D42" s="428">
        <f t="shared" si="7"/>
        <v>-132001.35000000009</v>
      </c>
      <c r="E42" s="428">
        <f t="shared" si="7"/>
        <v>-177990.18000000017</v>
      </c>
      <c r="F42" s="428">
        <f t="shared" si="7"/>
        <v>15481.340000000782</v>
      </c>
      <c r="G42" s="428">
        <f t="shared" si="7"/>
        <v>336783.87000000011</v>
      </c>
      <c r="H42" s="438">
        <f t="shared" si="3"/>
        <v>154481.67000000039</v>
      </c>
      <c r="I42" s="428">
        <f t="shared" si="7"/>
        <v>-209945</v>
      </c>
      <c r="J42" s="438">
        <f t="shared" si="4"/>
        <v>-30230.351712080184</v>
      </c>
      <c r="K42" s="428">
        <f t="shared" si="7"/>
        <v>20591.946683568414</v>
      </c>
      <c r="L42" s="428">
        <f t="shared" si="7"/>
        <v>4440.4953425000422</v>
      </c>
      <c r="M42" s="428">
        <f t="shared" si="5"/>
        <v>10706.077330925502</v>
      </c>
      <c r="N42" s="428">
        <f t="shared" si="7"/>
        <v>23330.180125234183</v>
      </c>
    </row>
    <row r="43" spans="1:14" x14ac:dyDescent="0.3">
      <c r="A43" s="320" t="s">
        <v>87</v>
      </c>
      <c r="B43" s="321" t="s">
        <v>98</v>
      </c>
      <c r="C43" s="428">
        <f t="shared" si="7"/>
        <v>83397</v>
      </c>
      <c r="D43" s="428">
        <f t="shared" si="7"/>
        <v>61563.110000000102</v>
      </c>
      <c r="E43" s="428">
        <f t="shared" si="7"/>
        <v>-10076.09999999986</v>
      </c>
      <c r="F43" s="428">
        <f t="shared" si="7"/>
        <v>-139589.42999999993</v>
      </c>
      <c r="G43" s="428">
        <f t="shared" si="7"/>
        <v>-7255</v>
      </c>
      <c r="H43" s="438">
        <f t="shared" si="3"/>
        <v>-44255.310000000056</v>
      </c>
      <c r="I43" s="428">
        <f t="shared" si="7"/>
        <v>-13169</v>
      </c>
      <c r="J43" s="438">
        <f t="shared" si="4"/>
        <v>26168.186881217058</v>
      </c>
      <c r="K43" s="428">
        <f t="shared" si="7"/>
        <v>36602.204484892427</v>
      </c>
      <c r="L43" s="428">
        <f t="shared" si="7"/>
        <v>5611</v>
      </c>
      <c r="M43" s="428">
        <f t="shared" si="5"/>
        <v>9650</v>
      </c>
      <c r="N43" s="428">
        <f t="shared" si="7"/>
        <v>14041</v>
      </c>
    </row>
    <row r="44" spans="1:14" x14ac:dyDescent="0.3">
      <c r="A44" s="320" t="s">
        <v>83</v>
      </c>
      <c r="B44" s="321" t="s">
        <v>92</v>
      </c>
      <c r="C44" s="428">
        <f t="shared" si="7"/>
        <v>-410725.625</v>
      </c>
      <c r="D44" s="428">
        <f t="shared" si="7"/>
        <v>812545.41000000015</v>
      </c>
      <c r="E44" s="428">
        <f t="shared" si="7"/>
        <v>-323065.21999999997</v>
      </c>
      <c r="F44" s="428">
        <f t="shared" si="7"/>
        <v>1171596.6099999994</v>
      </c>
      <c r="G44" s="428">
        <f t="shared" si="7"/>
        <v>-157955.82999999996</v>
      </c>
      <c r="H44" s="438">
        <f t="shared" si="3"/>
        <v>827105.13999999966</v>
      </c>
      <c r="I44" s="428">
        <f t="shared" si="7"/>
        <v>851747.99999999907</v>
      </c>
      <c r="J44" s="438">
        <f t="shared" si="4"/>
        <v>-415475.57660878007</v>
      </c>
      <c r="K44" s="428">
        <f t="shared" si="7"/>
        <v>649433.77754239086</v>
      </c>
      <c r="L44" s="428">
        <f t="shared" si="7"/>
        <v>-561527</v>
      </c>
      <c r="M44" s="428">
        <f t="shared" si="5"/>
        <v>818993</v>
      </c>
      <c r="N44" s="428">
        <f t="shared" si="7"/>
        <v>-606279</v>
      </c>
    </row>
    <row r="45" spans="1:14" x14ac:dyDescent="0.3">
      <c r="A45" s="320" t="s">
        <v>84</v>
      </c>
      <c r="B45" s="321" t="s">
        <v>93</v>
      </c>
      <c r="C45" s="428">
        <f t="shared" si="7"/>
        <v>-92919.669999999984</v>
      </c>
      <c r="D45" s="428">
        <f t="shared" si="7"/>
        <v>-100286.01999999996</v>
      </c>
      <c r="E45" s="428">
        <f t="shared" si="7"/>
        <v>-52415.679999999993</v>
      </c>
      <c r="F45" s="428">
        <f t="shared" si="7"/>
        <v>-62592.150000000023</v>
      </c>
      <c r="G45" s="428">
        <f t="shared" si="7"/>
        <v>-15466.140000000014</v>
      </c>
      <c r="H45" s="438">
        <f t="shared" si="3"/>
        <v>34854.419999999925</v>
      </c>
      <c r="I45" s="428">
        <f t="shared" si="7"/>
        <v>5234</v>
      </c>
      <c r="J45" s="438">
        <f t="shared" si="4"/>
        <v>21072.624983881018</v>
      </c>
      <c r="K45" s="428">
        <f t="shared" si="7"/>
        <v>27328.783921314287</v>
      </c>
      <c r="L45" s="428">
        <f t="shared" si="7"/>
        <v>29929</v>
      </c>
      <c r="M45" s="428">
        <f t="shared" si="5"/>
        <v>26862</v>
      </c>
      <c r="N45" s="428">
        <f t="shared" si="7"/>
        <v>24651</v>
      </c>
    </row>
    <row r="46" spans="1:14" x14ac:dyDescent="0.3">
      <c r="A46" s="320" t="s">
        <v>85</v>
      </c>
      <c r="B46" s="321" t="s">
        <v>95</v>
      </c>
      <c r="C46" s="428">
        <f t="shared" si="7"/>
        <v>2189.3649999999907</v>
      </c>
      <c r="D46" s="428">
        <f t="shared" si="7"/>
        <v>9748.1299999999464</v>
      </c>
      <c r="E46" s="428">
        <f t="shared" si="7"/>
        <v>-13483.459999999963</v>
      </c>
      <c r="F46" s="428">
        <f t="shared" si="7"/>
        <v>-243639.96999999997</v>
      </c>
      <c r="G46" s="428">
        <f t="shared" si="7"/>
        <v>163418.95000000001</v>
      </c>
      <c r="H46" s="438">
        <f t="shared" si="3"/>
        <v>91293.350000000035</v>
      </c>
      <c r="I46" s="428">
        <f t="shared" si="7"/>
        <v>8668</v>
      </c>
      <c r="J46" s="438">
        <f t="shared" si="4"/>
        <v>70895.857198197977</v>
      </c>
      <c r="K46" s="428">
        <f t="shared" si="7"/>
        <v>56576.612079515588</v>
      </c>
      <c r="L46" s="428">
        <f t="shared" si="7"/>
        <v>71597.517500000075</v>
      </c>
      <c r="M46" s="428">
        <f t="shared" si="5"/>
        <v>77733.989375000121</v>
      </c>
      <c r="N46" s="428">
        <f t="shared" si="7"/>
        <v>83768.217643750133</v>
      </c>
    </row>
    <row r="47" spans="1:14" x14ac:dyDescent="0.3">
      <c r="A47" s="320" t="s">
        <v>86</v>
      </c>
      <c r="B47" s="321" t="s">
        <v>94</v>
      </c>
      <c r="C47" s="274">
        <f t="shared" si="7"/>
        <v>-117686.56999999995</v>
      </c>
      <c r="D47" s="274">
        <f t="shared" si="7"/>
        <v>16916.75</v>
      </c>
      <c r="E47" s="274">
        <f t="shared" si="7"/>
        <v>-31249.739999999991</v>
      </c>
      <c r="F47" s="274">
        <f t="shared" si="7"/>
        <v>-132573.5</v>
      </c>
      <c r="G47" s="274">
        <f t="shared" si="7"/>
        <v>-1419.0300000000279</v>
      </c>
      <c r="H47" s="439">
        <f t="shared" si="3"/>
        <v>-90324.45000000007</v>
      </c>
      <c r="I47" s="274">
        <f t="shared" si="7"/>
        <v>-814</v>
      </c>
      <c r="J47" s="439">
        <f t="shared" si="4"/>
        <v>170379.10639136197</v>
      </c>
      <c r="K47" s="274">
        <f t="shared" si="7"/>
        <v>0.31561619509011507</v>
      </c>
      <c r="L47" s="274">
        <f t="shared" si="7"/>
        <v>57920</v>
      </c>
      <c r="M47" s="274">
        <f t="shared" si="5"/>
        <v>89540</v>
      </c>
      <c r="N47" s="274">
        <f t="shared" si="7"/>
        <v>111000</v>
      </c>
    </row>
    <row r="48" spans="1:14" x14ac:dyDescent="0.3">
      <c r="C48" s="358"/>
      <c r="D48" s="358"/>
      <c r="E48" s="358"/>
      <c r="F48" s="358"/>
      <c r="G48" s="358"/>
      <c r="H48" s="359"/>
      <c r="I48" s="358"/>
      <c r="J48" s="359"/>
      <c r="K48" s="358"/>
      <c r="L48" s="358"/>
      <c r="M48" s="358"/>
      <c r="N48" s="358"/>
    </row>
    <row r="49" spans="1:14" ht="15" thickBot="1" x14ac:dyDescent="0.35">
      <c r="A49" s="322" t="s">
        <v>154</v>
      </c>
      <c r="C49" s="271">
        <f>SUM(C38:C48)</f>
        <v>-410346.18500000029</v>
      </c>
      <c r="D49" s="271">
        <f t="shared" ref="D49:N49" si="8">SUM(D38:D48)</f>
        <v>720862.61000000034</v>
      </c>
      <c r="E49" s="271">
        <f t="shared" si="8"/>
        <v>-716511.37000000058</v>
      </c>
      <c r="F49" s="271">
        <f t="shared" si="8"/>
        <v>698098.25999999908</v>
      </c>
      <c r="G49" s="271">
        <f t="shared" si="8"/>
        <v>1821497.69</v>
      </c>
      <c r="H49" s="433">
        <f>SUM(H38:H48)</f>
        <v>1765456.2999999998</v>
      </c>
      <c r="I49" s="271">
        <f t="shared" si="8"/>
        <v>160726.99999999907</v>
      </c>
      <c r="J49" s="433">
        <f t="shared" si="8"/>
        <v>359382.34830134205</v>
      </c>
      <c r="K49" s="271">
        <f t="shared" si="8"/>
        <v>282120.81602055044</v>
      </c>
      <c r="L49" s="271">
        <f t="shared" si="8"/>
        <v>250099.42324249982</v>
      </c>
      <c r="M49" s="271">
        <f>SUM(M38:M48)</f>
        <v>1268688.3033139256</v>
      </c>
      <c r="N49" s="271">
        <f t="shared" si="8"/>
        <v>757436.90730914357</v>
      </c>
    </row>
    <row r="50" spans="1:14" ht="15" thickTop="1" x14ac:dyDescent="0.3">
      <c r="B50" s="300"/>
      <c r="C50" s="358"/>
      <c r="D50" s="358"/>
      <c r="E50" s="358"/>
      <c r="F50" s="358"/>
      <c r="G50" s="358"/>
      <c r="H50" s="359"/>
      <c r="I50" s="359"/>
      <c r="J50" s="359"/>
      <c r="K50" s="358"/>
      <c r="L50" s="358"/>
      <c r="M50" s="358"/>
      <c r="N50" s="358"/>
    </row>
    <row r="51" spans="1:14" x14ac:dyDescent="0.3">
      <c r="B51" s="300"/>
    </row>
    <row r="52" spans="1:14" x14ac:dyDescent="0.3">
      <c r="A52" s="415" t="s">
        <v>138</v>
      </c>
      <c r="B52" s="312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</row>
    <row r="53" spans="1:14" x14ac:dyDescent="0.3">
      <c r="A53" s="417" t="s">
        <v>78</v>
      </c>
      <c r="B53" s="418" t="s">
        <v>89</v>
      </c>
      <c r="C53" s="419">
        <v>9001.8700000000008</v>
      </c>
      <c r="D53" s="419">
        <v>303307.65999999997</v>
      </c>
      <c r="E53" s="419">
        <v>-16064.139999999998</v>
      </c>
      <c r="F53" s="420">
        <v>342456.66000000003</v>
      </c>
      <c r="G53" s="419">
        <v>9159.590000000002</v>
      </c>
      <c r="H53" s="419">
        <v>214430.38</v>
      </c>
      <c r="I53" s="419">
        <v>262422</v>
      </c>
      <c r="J53" s="419">
        <v>1235</v>
      </c>
      <c r="K53" s="419">
        <v>369672.00000000047</v>
      </c>
      <c r="L53" s="419">
        <v>1259.7</v>
      </c>
      <c r="M53" s="419">
        <v>347749</v>
      </c>
      <c r="N53" s="419">
        <v>1755</v>
      </c>
    </row>
    <row r="54" spans="1:14" x14ac:dyDescent="0.3">
      <c r="A54" s="417" t="s">
        <v>79</v>
      </c>
      <c r="B54" s="418" t="s">
        <v>91</v>
      </c>
      <c r="C54" s="421">
        <v>840744.29000000027</v>
      </c>
      <c r="D54" s="421">
        <v>209386.30000000005</v>
      </c>
      <c r="E54" s="421">
        <v>811598.02999999991</v>
      </c>
      <c r="F54" s="422">
        <v>119796.81</v>
      </c>
      <c r="G54" s="421">
        <v>277121.30999999994</v>
      </c>
      <c r="H54" s="421">
        <v>197394.84000000003</v>
      </c>
      <c r="I54" s="421">
        <v>233492.00000000009</v>
      </c>
      <c r="J54" s="421">
        <v>656518</v>
      </c>
      <c r="K54" s="421">
        <v>169356.99999999997</v>
      </c>
      <c r="L54" s="421">
        <v>689343.9</v>
      </c>
      <c r="M54" s="421">
        <v>184086</v>
      </c>
      <c r="N54" s="421">
        <v>723811.09499999997</v>
      </c>
    </row>
    <row r="55" spans="1:14" x14ac:dyDescent="0.3">
      <c r="A55" s="417" t="s">
        <v>80</v>
      </c>
      <c r="B55" s="418" t="s">
        <v>90</v>
      </c>
      <c r="C55" s="423">
        <v>176042.97999999998</v>
      </c>
      <c r="D55" s="423">
        <v>233914.13999999996</v>
      </c>
      <c r="E55" s="423">
        <v>246058.39999999997</v>
      </c>
      <c r="F55" s="422">
        <v>273392.46000000002</v>
      </c>
      <c r="G55" s="423">
        <v>273532.33999999997</v>
      </c>
      <c r="H55" s="423">
        <v>272829.97000000003</v>
      </c>
      <c r="I55" s="423">
        <v>154794.99000000002</v>
      </c>
      <c r="J55" s="423">
        <v>191975.88</v>
      </c>
      <c r="K55" s="423">
        <v>192975</v>
      </c>
      <c r="L55" s="423">
        <v>201991</v>
      </c>
      <c r="M55" s="423">
        <v>166560</v>
      </c>
      <c r="N55" s="423">
        <v>210774</v>
      </c>
    </row>
    <row r="56" spans="1:14" x14ac:dyDescent="0.3">
      <c r="A56" s="417" t="s">
        <v>81</v>
      </c>
      <c r="B56" s="418" t="s">
        <v>97</v>
      </c>
      <c r="C56" s="422">
        <v>1401.37</v>
      </c>
      <c r="D56" s="422">
        <v>3794.8799999999997</v>
      </c>
      <c r="E56" s="422">
        <v>6062.8100000000013</v>
      </c>
      <c r="F56" s="422">
        <v>4829.91</v>
      </c>
      <c r="G56" s="422">
        <v>3288.6499999999996</v>
      </c>
      <c r="H56" s="422">
        <v>0</v>
      </c>
      <c r="I56" s="422">
        <v>0</v>
      </c>
      <c r="J56" s="422">
        <v>0</v>
      </c>
      <c r="K56" s="422">
        <v>0</v>
      </c>
      <c r="L56" s="422">
        <v>0</v>
      </c>
      <c r="M56" s="422">
        <v>0</v>
      </c>
      <c r="N56" s="422">
        <v>0</v>
      </c>
    </row>
    <row r="57" spans="1:14" x14ac:dyDescent="0.3">
      <c r="A57" s="417" t="s">
        <v>82</v>
      </c>
      <c r="B57" s="418" t="s">
        <v>96</v>
      </c>
      <c r="C57" s="424">
        <v>388206.2</v>
      </c>
      <c r="D57" s="424">
        <v>371353.33000000007</v>
      </c>
      <c r="E57" s="424">
        <v>334014.39000000007</v>
      </c>
      <c r="F57" s="422">
        <v>322761.34000000008</v>
      </c>
      <c r="G57" s="424">
        <v>309442.42</v>
      </c>
      <c r="H57" s="424">
        <v>306611.64</v>
      </c>
      <c r="I57" s="424">
        <v>297654.99999999988</v>
      </c>
      <c r="J57" s="424">
        <v>298312.00000000006</v>
      </c>
      <c r="K57" s="423">
        <v>309428.99999999988</v>
      </c>
      <c r="L57" s="423">
        <v>316168.39565750002</v>
      </c>
      <c r="M57" s="423">
        <v>322072.52777907508</v>
      </c>
      <c r="N57" s="423">
        <v>329046.78889986576</v>
      </c>
    </row>
    <row r="58" spans="1:14" x14ac:dyDescent="0.3">
      <c r="A58" s="417" t="s">
        <v>87</v>
      </c>
      <c r="B58" s="418" t="s">
        <v>98</v>
      </c>
      <c r="C58" s="422">
        <f>48306.77+14069.64+32664.86</f>
        <v>95041.26999999999</v>
      </c>
      <c r="D58" s="422">
        <f>40375.71+15563.65+35885.39</f>
        <v>91824.75</v>
      </c>
      <c r="E58" s="422">
        <f>38965.92+10622.37+27458.91</f>
        <v>77047.199999999997</v>
      </c>
      <c r="F58" s="422">
        <f>36743.31+6894.37+3479.72</f>
        <v>47117.4</v>
      </c>
      <c r="G58" s="422">
        <v>33135.99</v>
      </c>
      <c r="H58" s="422">
        <v>38394.89</v>
      </c>
      <c r="I58" s="422">
        <v>75857</v>
      </c>
      <c r="J58" s="422">
        <v>93214</v>
      </c>
      <c r="K58" s="422">
        <v>50000.000000000051</v>
      </c>
      <c r="L58" s="422">
        <v>100820</v>
      </c>
      <c r="M58" s="422">
        <v>104853</v>
      </c>
      <c r="N58" s="422">
        <v>109047</v>
      </c>
    </row>
    <row r="59" spans="1:14" x14ac:dyDescent="0.3">
      <c r="A59" s="417" t="s">
        <v>83</v>
      </c>
      <c r="B59" s="418" t="s">
        <v>92</v>
      </c>
      <c r="C59" s="422">
        <v>28596.17</v>
      </c>
      <c r="D59" s="422">
        <v>859257.12000000034</v>
      </c>
      <c r="E59" s="422">
        <v>21051.83</v>
      </c>
      <c r="F59" s="422">
        <v>1068671.7500000002</v>
      </c>
      <c r="G59" s="422">
        <v>28672.110000000004</v>
      </c>
      <c r="H59" s="422">
        <v>755579.07</v>
      </c>
      <c r="I59" s="422">
        <v>788269</v>
      </c>
      <c r="J59" s="422">
        <v>33280.000000000015</v>
      </c>
      <c r="K59" s="422">
        <v>802980.00000000035</v>
      </c>
      <c r="L59" s="422">
        <v>85123</v>
      </c>
      <c r="M59" s="422">
        <v>946678</v>
      </c>
      <c r="N59" s="422">
        <v>92816</v>
      </c>
    </row>
    <row r="60" spans="1:14" x14ac:dyDescent="0.3">
      <c r="A60" s="417" t="s">
        <v>84</v>
      </c>
      <c r="B60" s="418" t="s">
        <v>93</v>
      </c>
      <c r="C60" s="422">
        <v>12969.31</v>
      </c>
      <c r="D60" s="422">
        <v>11157.25</v>
      </c>
      <c r="E60" s="422">
        <v>10588.68</v>
      </c>
      <c r="F60" s="422">
        <v>15552.49</v>
      </c>
      <c r="G60" s="422">
        <v>20169.169999999998</v>
      </c>
      <c r="H60" s="422">
        <v>15884.49</v>
      </c>
      <c r="I60" s="422">
        <v>14009.999999999962</v>
      </c>
      <c r="J60" s="422">
        <v>13999.999999999962</v>
      </c>
      <c r="K60" s="422">
        <v>14000.000000000038</v>
      </c>
      <c r="L60" s="422">
        <v>14867</v>
      </c>
      <c r="M60" s="422">
        <v>15164</v>
      </c>
      <c r="N60" s="422">
        <v>15467</v>
      </c>
    </row>
    <row r="61" spans="1:14" x14ac:dyDescent="0.3">
      <c r="A61" s="417" t="s">
        <v>85</v>
      </c>
      <c r="B61" s="418" t="s">
        <v>95</v>
      </c>
      <c r="C61" s="422">
        <v>10445.969999999999</v>
      </c>
      <c r="D61" s="422">
        <v>7924.6999999999989</v>
      </c>
      <c r="E61" s="422">
        <v>12889.32</v>
      </c>
      <c r="F61" s="422">
        <v>7631.7</v>
      </c>
      <c r="G61" s="422">
        <v>15985.980000000001</v>
      </c>
      <c r="H61" s="422">
        <v>23595.249999999996</v>
      </c>
      <c r="I61" s="422">
        <v>21999.999999999956</v>
      </c>
      <c r="J61" s="422">
        <v>22458.99999999996</v>
      </c>
      <c r="K61" s="422">
        <v>27879.999999999953</v>
      </c>
      <c r="L61" s="422">
        <v>39000</v>
      </c>
      <c r="M61" s="422">
        <v>42250</v>
      </c>
      <c r="N61" s="422">
        <v>45500</v>
      </c>
    </row>
    <row r="62" spans="1:14" x14ac:dyDescent="0.3">
      <c r="A62" s="417" t="s">
        <v>86</v>
      </c>
      <c r="B62" s="418" t="s">
        <v>94</v>
      </c>
      <c r="C62" s="425">
        <v>39398.03</v>
      </c>
      <c r="D62" s="425">
        <v>61245.609999999993</v>
      </c>
      <c r="E62" s="425">
        <v>60107.539999999994</v>
      </c>
      <c r="F62" s="425">
        <v>53643.049999999996</v>
      </c>
      <c r="G62" s="425">
        <v>41053.780000000006</v>
      </c>
      <c r="H62" s="425">
        <v>32022.969999999998</v>
      </c>
      <c r="I62" s="425">
        <v>35052.999999999956</v>
      </c>
      <c r="J62" s="425">
        <v>35053</v>
      </c>
      <c r="K62" s="425">
        <v>40230</v>
      </c>
      <c r="L62" s="425">
        <v>35655</v>
      </c>
      <c r="M62" s="425">
        <v>37438</v>
      </c>
      <c r="N62" s="425">
        <v>38000</v>
      </c>
    </row>
    <row r="63" spans="1:14" x14ac:dyDescent="0.3">
      <c r="A63" s="312"/>
      <c r="B63" s="312"/>
      <c r="C63" s="416"/>
      <c r="D63" s="416"/>
      <c r="E63" s="416"/>
      <c r="F63" s="416"/>
      <c r="G63" s="416"/>
      <c r="H63" s="416"/>
      <c r="I63" s="416"/>
      <c r="J63" s="416"/>
      <c r="K63" s="416"/>
      <c r="L63" s="416"/>
      <c r="M63" s="416"/>
      <c r="N63" s="416"/>
    </row>
    <row r="64" spans="1:14" ht="15" thickBot="1" x14ac:dyDescent="0.35">
      <c r="A64" s="426" t="s">
        <v>137</v>
      </c>
      <c r="B64" s="312"/>
      <c r="C64" s="427">
        <f>SUM(C53:C63)</f>
        <v>1601847.4600000002</v>
      </c>
      <c r="D64" s="427">
        <f>SUM(D53:D63)</f>
        <v>2153165.7400000002</v>
      </c>
      <c r="E64" s="427">
        <f>SUM(E53:E63)</f>
        <v>1563354.06</v>
      </c>
      <c r="F64" s="427">
        <f t="shared" ref="F64:N64" si="9">SUM(F53:F63)</f>
        <v>2255853.5700000003</v>
      </c>
      <c r="G64" s="427">
        <f t="shared" si="9"/>
        <v>1011561.3400000001</v>
      </c>
      <c r="H64" s="427">
        <f>SUM(H53:H63)</f>
        <v>1856743.5</v>
      </c>
      <c r="I64" s="427">
        <f t="shared" si="9"/>
        <v>1883552.99</v>
      </c>
      <c r="J64" s="427">
        <f t="shared" si="9"/>
        <v>1346046.8800000001</v>
      </c>
      <c r="K64" s="427">
        <f t="shared" si="9"/>
        <v>1976523.0000000009</v>
      </c>
      <c r="L64" s="427">
        <f t="shared" si="9"/>
        <v>1484227.9956574999</v>
      </c>
      <c r="M64" s="427">
        <f>SUM(M53:M63)</f>
        <v>2166850.5277790753</v>
      </c>
      <c r="N64" s="427">
        <f t="shared" si="9"/>
        <v>1566216.8838998657</v>
      </c>
    </row>
    <row r="65" spans="1:14" ht="15" thickTop="1" x14ac:dyDescent="0.3">
      <c r="B65" s="300"/>
      <c r="C65" s="358"/>
      <c r="D65" s="358"/>
      <c r="E65" s="358"/>
      <c r="F65" s="359"/>
      <c r="G65" s="359"/>
      <c r="H65" s="359"/>
      <c r="I65" s="359"/>
      <c r="J65" s="359"/>
      <c r="K65" s="358"/>
      <c r="L65" s="358"/>
      <c r="M65" s="358"/>
      <c r="N65" s="358"/>
    </row>
    <row r="66" spans="1:14" x14ac:dyDescent="0.3">
      <c r="B66" s="300"/>
      <c r="C66" s="358"/>
      <c r="D66" s="358"/>
      <c r="E66" s="358"/>
      <c r="F66" s="359"/>
      <c r="G66" s="359"/>
      <c r="H66" s="359"/>
      <c r="I66" s="359"/>
      <c r="J66" s="358"/>
      <c r="K66" s="358"/>
      <c r="L66" s="358"/>
      <c r="M66" s="358"/>
      <c r="N66" s="358"/>
    </row>
    <row r="67" spans="1:14" x14ac:dyDescent="0.3">
      <c r="B67" s="300"/>
      <c r="C67" s="358"/>
      <c r="D67" s="358"/>
      <c r="F67" s="359"/>
      <c r="G67" s="359"/>
      <c r="H67" s="359"/>
      <c r="I67" s="359"/>
      <c r="J67" s="358"/>
      <c r="K67" s="358"/>
      <c r="L67" s="358"/>
      <c r="M67" s="358"/>
      <c r="N67" s="358"/>
    </row>
    <row r="68" spans="1:14" x14ac:dyDescent="0.3">
      <c r="B68" s="300"/>
      <c r="F68" s="359"/>
      <c r="G68" s="359"/>
      <c r="H68" s="359"/>
      <c r="I68" s="359"/>
      <c r="J68" s="358"/>
      <c r="K68" s="358"/>
      <c r="L68" s="358"/>
      <c r="M68" s="358"/>
      <c r="N68" s="358"/>
    </row>
    <row r="69" spans="1:14" x14ac:dyDescent="0.3">
      <c r="B69" s="300"/>
      <c r="E69" s="358"/>
      <c r="F69" s="359"/>
      <c r="G69" s="359"/>
      <c r="H69" s="359"/>
      <c r="I69" s="359"/>
      <c r="J69" s="358"/>
      <c r="K69" s="358"/>
      <c r="L69" s="358"/>
      <c r="M69" s="358"/>
      <c r="N69" s="358"/>
    </row>
    <row r="70" spans="1:14" x14ac:dyDescent="0.3">
      <c r="B70" s="300"/>
      <c r="C70" s="358"/>
      <c r="D70" s="358"/>
      <c r="E70" s="358"/>
      <c r="F70" s="359"/>
      <c r="G70" s="359"/>
      <c r="H70" s="359"/>
      <c r="I70" s="359"/>
      <c r="J70" s="358"/>
      <c r="K70" s="358"/>
      <c r="L70" s="358"/>
      <c r="M70" s="358"/>
      <c r="N70" s="358"/>
    </row>
    <row r="71" spans="1:14" x14ac:dyDescent="0.3">
      <c r="B71" s="300"/>
    </row>
    <row r="72" spans="1:14" x14ac:dyDescent="0.3">
      <c r="B72" s="300"/>
    </row>
    <row r="75" spans="1:14" x14ac:dyDescent="0.3">
      <c r="A75" s="464" t="s">
        <v>184</v>
      </c>
      <c r="B75" t="s">
        <v>99</v>
      </c>
    </row>
  </sheetData>
  <pageMargins left="0.7" right="0.7" top="0.75" bottom="0.75" header="0.3" footer="0.3"/>
  <pageSetup scale="45" orientation="landscape" horizontalDpi="4294967293" verticalDpi="24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748B-9F2A-4BF8-B582-9E0DB2FEFEE3}">
  <sheetPr>
    <pageSetUpPr fitToPage="1"/>
  </sheetPr>
  <dimension ref="A1:Q51"/>
  <sheetViews>
    <sheetView zoomScale="80" zoomScaleNormal="80" workbookViewId="0"/>
  </sheetViews>
  <sheetFormatPr defaultRowHeight="14.4" x14ac:dyDescent="0.3"/>
  <cols>
    <col min="1" max="1" width="35.88671875" bestFit="1" customWidth="1"/>
    <col min="2" max="3" width="13.33203125" bestFit="1" customWidth="1"/>
    <col min="4" max="6" width="12.33203125" bestFit="1" customWidth="1"/>
    <col min="7" max="7" width="17.77734375" customWidth="1"/>
    <col min="8" max="8" width="15.5546875" bestFit="1" customWidth="1"/>
    <col min="9" max="9" width="12.6640625" bestFit="1" customWidth="1"/>
    <col min="10" max="10" width="17.6640625" customWidth="1"/>
    <col min="11" max="11" width="14.109375" customWidth="1"/>
    <col min="12" max="12" width="13.44140625" customWidth="1"/>
    <col min="13" max="13" width="13.33203125" bestFit="1" customWidth="1"/>
    <col min="14" max="14" width="14.88671875" customWidth="1"/>
  </cols>
  <sheetData>
    <row r="1" spans="1:15" x14ac:dyDescent="0.3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5" x14ac:dyDescent="0.3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5" x14ac:dyDescent="0.3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5" x14ac:dyDescent="0.3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5" x14ac:dyDescent="0.3">
      <c r="A5" s="306"/>
      <c r="B5" s="307" t="s">
        <v>108</v>
      </c>
      <c r="C5" s="307" t="s">
        <v>109</v>
      </c>
      <c r="D5" s="307" t="s">
        <v>110</v>
      </c>
      <c r="E5" s="307" t="s">
        <v>111</v>
      </c>
      <c r="F5" s="307" t="s">
        <v>112</v>
      </c>
      <c r="G5" s="307" t="s">
        <v>114</v>
      </c>
      <c r="H5" s="307" t="s">
        <v>115</v>
      </c>
      <c r="I5" s="307" t="s">
        <v>116</v>
      </c>
      <c r="J5" s="307" t="s">
        <v>117</v>
      </c>
      <c r="K5" s="307" t="s">
        <v>118</v>
      </c>
      <c r="L5" s="307" t="s">
        <v>119</v>
      </c>
      <c r="M5" s="307" t="s">
        <v>120</v>
      </c>
      <c r="N5" s="307" t="s">
        <v>167</v>
      </c>
      <c r="O5" s="303"/>
    </row>
    <row r="6" spans="1:15" x14ac:dyDescent="0.3">
      <c r="A6" s="306"/>
      <c r="B6" s="307"/>
      <c r="C6" s="307"/>
      <c r="D6" s="307"/>
      <c r="E6" s="307"/>
      <c r="F6" s="307"/>
      <c r="G6" s="307"/>
      <c r="H6" s="306"/>
      <c r="I6" s="306"/>
      <c r="J6" s="306"/>
      <c r="K6" s="306"/>
      <c r="L6" s="306"/>
      <c r="M6" s="306"/>
      <c r="N6" s="306"/>
      <c r="O6" s="303"/>
    </row>
    <row r="7" spans="1:15" x14ac:dyDescent="0.3">
      <c r="A7" s="306" t="s">
        <v>113</v>
      </c>
      <c r="B7" s="310">
        <v>14486928</v>
      </c>
      <c r="C7" s="308">
        <v>14154503</v>
      </c>
      <c r="D7" s="309">
        <v>8177379</v>
      </c>
      <c r="E7" s="309">
        <v>9344249</v>
      </c>
      <c r="F7" s="309">
        <v>3410301.38</v>
      </c>
      <c r="G7" s="309">
        <v>764197.52</v>
      </c>
      <c r="H7" s="309">
        <v>4860179</v>
      </c>
      <c r="I7" s="309">
        <v>7536805</v>
      </c>
      <c r="J7" s="309">
        <f>+I7+'Spring 2023'!X67-'Spring 2023'!X59</f>
        <v>7587263.9975761026</v>
      </c>
      <c r="K7" s="309">
        <f>+J7+'Spring 2023'!Y67-'Spring 2023'!Y59</f>
        <v>7710882.0660990039</v>
      </c>
      <c r="L7" s="309">
        <f>+K7+'Spring 2023'!Z67-'Spring 2023'!Z59</f>
        <v>8817103.4427183531</v>
      </c>
      <c r="M7" s="309">
        <f>+L7+'Spring 2023'!AA67-'Spring 2023'!AA59</f>
        <v>12816724.95332931</v>
      </c>
      <c r="N7" s="309">
        <f>+M7+'Spring 2023'!AB67-'Spring 2023'!AB59</f>
        <v>15103007.42597023</v>
      </c>
      <c r="O7" s="303"/>
    </row>
    <row r="8" spans="1:15" x14ac:dyDescent="0.3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</row>
    <row r="9" spans="1:15" x14ac:dyDescent="0.3">
      <c r="A9" s="303"/>
      <c r="B9" s="303"/>
      <c r="C9" s="303"/>
      <c r="D9" s="303"/>
      <c r="E9" s="303"/>
      <c r="F9" s="303"/>
      <c r="G9" s="303"/>
      <c r="H9" s="431"/>
      <c r="I9" s="431"/>
      <c r="J9" s="431"/>
      <c r="K9" s="431"/>
      <c r="L9" s="431"/>
      <c r="M9" s="431"/>
      <c r="N9" s="303"/>
      <c r="O9" s="303"/>
    </row>
    <row r="10" spans="1:15" x14ac:dyDescent="0.3">
      <c r="A10" s="303"/>
      <c r="B10" s="303"/>
      <c r="C10" s="303"/>
      <c r="D10" s="303"/>
      <c r="E10" s="303"/>
      <c r="F10" s="303"/>
      <c r="K10" s="303"/>
      <c r="L10" s="303"/>
      <c r="M10" s="303"/>
      <c r="N10" s="303"/>
      <c r="O10" s="303"/>
    </row>
    <row r="11" spans="1:15" x14ac:dyDescent="0.3">
      <c r="A11" s="303"/>
      <c r="B11" s="303"/>
      <c r="C11" s="303"/>
      <c r="D11" s="303"/>
      <c r="E11" s="303"/>
      <c r="F11" s="303"/>
      <c r="K11" s="432"/>
      <c r="L11" s="432"/>
      <c r="M11" s="432"/>
      <c r="N11" s="303"/>
      <c r="O11" s="303"/>
    </row>
    <row r="12" spans="1:15" x14ac:dyDescent="0.3">
      <c r="A12" s="303"/>
      <c r="B12" s="303" t="s">
        <v>2</v>
      </c>
      <c r="C12" s="303"/>
      <c r="D12" s="303"/>
      <c r="E12" s="303"/>
      <c r="F12" s="303"/>
      <c r="K12" s="303"/>
      <c r="L12" s="303"/>
      <c r="M12" s="303"/>
      <c r="N12" s="303"/>
      <c r="O12" s="303"/>
    </row>
    <row r="13" spans="1:15" x14ac:dyDescent="0.3">
      <c r="A13" s="303"/>
      <c r="B13" s="303"/>
      <c r="C13" s="303"/>
      <c r="D13" s="303"/>
      <c r="E13" s="303"/>
      <c r="F13" s="303"/>
      <c r="K13" s="303"/>
      <c r="L13" s="303"/>
      <c r="M13" s="303"/>
      <c r="N13" s="303"/>
      <c r="O13" s="303"/>
    </row>
    <row r="14" spans="1:15" x14ac:dyDescent="0.3">
      <c r="A14" s="303"/>
      <c r="B14" s="303"/>
      <c r="C14" s="303"/>
      <c r="D14" s="303"/>
      <c r="E14" s="303"/>
      <c r="F14" s="303"/>
      <c r="K14" s="303"/>
      <c r="L14" s="303"/>
      <c r="M14" s="303"/>
      <c r="N14" s="303"/>
    </row>
    <row r="15" spans="1:15" x14ac:dyDescent="0.3">
      <c r="A15" s="303"/>
      <c r="B15" s="303"/>
      <c r="C15" s="303"/>
      <c r="D15" s="303"/>
      <c r="E15" s="303"/>
      <c r="F15" s="303"/>
      <c r="K15" s="303"/>
      <c r="L15" s="303"/>
      <c r="M15" s="303"/>
      <c r="N15" s="303"/>
    </row>
    <row r="16" spans="1:15" x14ac:dyDescent="0.3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</row>
    <row r="17" spans="1:14" x14ac:dyDescent="0.3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</row>
    <row r="18" spans="1:14" x14ac:dyDescent="0.3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</row>
    <row r="36" spans="1:17" x14ac:dyDescent="0.3"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</row>
    <row r="37" spans="1:17" x14ac:dyDescent="0.3">
      <c r="I37" s="273"/>
      <c r="J37" s="273"/>
      <c r="K37" s="273"/>
      <c r="L37" s="273"/>
    </row>
    <row r="38" spans="1:17" x14ac:dyDescent="0.3">
      <c r="I38" s="273"/>
      <c r="J38" s="273"/>
      <c r="K38" s="273"/>
      <c r="L38" s="273"/>
      <c r="M38" s="273"/>
      <c r="N38" s="273"/>
      <c r="O38" s="273"/>
      <c r="P38" s="273"/>
      <c r="Q38" s="273"/>
    </row>
    <row r="39" spans="1:17" x14ac:dyDescent="0.3">
      <c r="A39" s="464" t="s">
        <v>175</v>
      </c>
      <c r="I39" s="273"/>
      <c r="J39" s="273"/>
      <c r="K39" s="273"/>
      <c r="L39" s="273"/>
      <c r="M39" s="273"/>
      <c r="N39" s="273"/>
      <c r="O39" s="273"/>
      <c r="P39" s="273"/>
      <c r="Q39" s="273"/>
    </row>
    <row r="40" spans="1:17" x14ac:dyDescent="0.3">
      <c r="I40" s="273"/>
      <c r="J40" s="273"/>
      <c r="K40" s="273"/>
      <c r="L40" s="273"/>
      <c r="M40" s="273"/>
      <c r="N40" s="273"/>
      <c r="O40" s="273"/>
      <c r="P40" s="273"/>
      <c r="Q40" s="273"/>
    </row>
    <row r="41" spans="1:17" x14ac:dyDescent="0.3">
      <c r="I41" s="273"/>
      <c r="J41" s="273"/>
      <c r="K41" s="273"/>
      <c r="L41" s="273"/>
      <c r="M41" s="273"/>
      <c r="N41" s="273"/>
      <c r="O41" s="273"/>
      <c r="P41" s="273"/>
      <c r="Q41" s="273"/>
    </row>
    <row r="42" spans="1:17" x14ac:dyDescent="0.3">
      <c r="I42" s="273"/>
      <c r="J42" s="273"/>
      <c r="K42" s="273"/>
      <c r="L42" s="273"/>
      <c r="M42" s="273"/>
      <c r="N42" s="273"/>
      <c r="O42" s="273"/>
      <c r="P42" s="273"/>
      <c r="Q42" s="273"/>
    </row>
    <row r="43" spans="1:17" x14ac:dyDescent="0.3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</row>
    <row r="44" spans="1:17" x14ac:dyDescent="0.3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</row>
    <row r="45" spans="1:17" x14ac:dyDescent="0.3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</row>
    <row r="46" spans="1:17" x14ac:dyDescent="0.3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</row>
    <row r="47" spans="1:17" x14ac:dyDescent="0.3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</row>
    <row r="48" spans="1:17" x14ac:dyDescent="0.3">
      <c r="A48" s="273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</row>
    <row r="49" spans="1:12" x14ac:dyDescent="0.3">
      <c r="A49" s="273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</row>
    <row r="50" spans="1:12" x14ac:dyDescent="0.3"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</row>
    <row r="51" spans="1:12" x14ac:dyDescent="0.3"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</row>
  </sheetData>
  <phoneticPr fontId="31" type="noConversion"/>
  <pageMargins left="0.7" right="0.7" top="0.75" bottom="0.75" header="0.3" footer="0.3"/>
  <pageSetup scale="46" orientation="landscape" horizontalDpi="4294967293" verticalDpi="24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Spring 2023</vt:lpstr>
      <vt:lpstr>Detailed GF version</vt:lpstr>
      <vt:lpstr>Total ALA Payroll</vt:lpstr>
      <vt:lpstr>Revenue Pie Chart</vt:lpstr>
      <vt:lpstr>Gross Revenue %</vt:lpstr>
      <vt:lpstr>Overhead-Gen Fund, Div &amp; RTs</vt:lpstr>
      <vt:lpstr>Divisions</vt:lpstr>
      <vt:lpstr>Liquidity - ST Investments</vt:lpstr>
      <vt:lpstr>'Gross Revenue %'!Print_Area</vt:lpstr>
      <vt:lpstr>'Spring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Leon</dc:creator>
  <cp:lastModifiedBy>Holly Robison</cp:lastModifiedBy>
  <cp:lastPrinted>2023-04-02T12:50:59Z</cp:lastPrinted>
  <dcterms:created xsi:type="dcterms:W3CDTF">2018-10-22T21:49:10Z</dcterms:created>
  <dcterms:modified xsi:type="dcterms:W3CDTF">2023-04-05T17:24:32Z</dcterms:modified>
</cp:coreProperties>
</file>